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avis\Desktop\WEB\SURA\SOLICITUDES\"/>
    </mc:Choice>
  </mc:AlternateContent>
  <workbookProtection workbookAlgorithmName="SHA-512" workbookHashValue="SnclVJbQA2/D65Xh99ffxP8npHh0nyjLSUdc7YuTzHGgonY2857PUcu4+/+1TN+o2gRlQ9CyG7sH8XzFlMoZsg==" workbookSaltValue="9v4jvoVqgmjLq0E5IzHSNg==" workbookSpinCount="100000" lockStructure="1"/>
  <bookViews>
    <workbookView xWindow="0" yWindow="0" windowWidth="20460" windowHeight="8280" tabRatio="725" activeTab="1"/>
  </bookViews>
  <sheets>
    <sheet name="LEER Instructivo" sheetId="6" r:id="rId1"/>
    <sheet name="Persona Natural" sheetId="1" r:id="rId2"/>
    <sheet name="AP" sheetId="12" state="hidden" r:id="rId3"/>
    <sheet name="mensajes nat" sheetId="11" state="hidden" r:id="rId4"/>
    <sheet name="tablas" sheetId="2" state="hidden" r:id="rId5"/>
    <sheet name="Tabla ID" sheetId="4" state="hidden" r:id="rId6"/>
    <sheet name="textos de autorizaciones" sheetId="5" state="hidden" r:id="rId7"/>
    <sheet name="tabla direccion" sheetId="3" state="hidden" r:id="rId8"/>
    <sheet name="titulos largos concatenar" sheetId="8" state="hidden" r:id="rId9"/>
  </sheets>
  <externalReferences>
    <externalReference r:id="rId10"/>
    <externalReference r:id="rId11"/>
  </externalReferences>
  <definedNames>
    <definedName name="_">'Tabla ID'!$A$23</definedName>
    <definedName name="__">'Tabla ID'!$F$26:$F$38</definedName>
    <definedName name="_1">'Tabla ID'!$A$20</definedName>
    <definedName name="_10">'Tabla ID'!$J$20</definedName>
    <definedName name="_11">'Tabla ID'!$K$20</definedName>
    <definedName name="_12">'Tabla ID'!$L$20</definedName>
    <definedName name="_13">'Tabla ID'!$M$20</definedName>
    <definedName name="_2">'Tabla ID'!$B$20</definedName>
    <definedName name="_3">'Tabla ID'!$C$20</definedName>
    <definedName name="_4">'Tabla ID'!$D$20</definedName>
    <definedName name="_5">'Tabla ID'!$E$20</definedName>
    <definedName name="_6">'Tabla ID'!$F$20</definedName>
    <definedName name="_7">'Tabla ID'!$G$20</definedName>
    <definedName name="_8">'Tabla ID'!$H$20</definedName>
    <definedName name="_9">'Tabla ID'!$I$20</definedName>
    <definedName name="_Bocas_Del_Toro">'tabla direccion'!$A$19:$A$23</definedName>
    <definedName name="_Bugaba">'tabla direccion'!$S$19:$S$31</definedName>
    <definedName name="_Comarca_Kuna_Yala">'tabla direccion'!$BO$19:$BO$22</definedName>
    <definedName name="_xlnm._FilterDatabase" localSheetId="3" hidden="1">'mensajes nat'!$A$1:$E$106</definedName>
    <definedName name="_Panamá">'tabla direccion'!$AU$19:$AU$41</definedName>
    <definedName name="_Pocrí">'tabla direccion'!$AP$19:$AP$23</definedName>
    <definedName name="a">tablas!$BS$15:$BS$19</definedName>
    <definedName name="Accidentes_Personales">tablas!$Y$13:$Y$15</definedName>
    <definedName name="acreedor">tablas!$BL$2:$BL$210</definedName>
    <definedName name="actividad">tablas!$BR$2:$BR$12</definedName>
    <definedName name="Actividadeconomica">tablas!$A$2:$A$145</definedName>
    <definedName name="Aguadulce">'tabla direccion'!$D$19:$D$23</definedName>
    <definedName name="Alanje">'tabla direccion'!$O$19:$O$27</definedName>
    <definedName name="Antón">'tabla direccion'!$E$19:$E$28</definedName>
    <definedName name="AP">tablas!$AR$2:$AR$7</definedName>
    <definedName name="_xlnm.Print_Area" localSheetId="1">'Persona Natural'!$A$1:$T$152</definedName>
    <definedName name="Arraiján">'tabla direccion'!$AX$19:$AX$26</definedName>
    <definedName name="asiento">tablas!$BV$2:$BV$3</definedName>
    <definedName name="Atalaya">'tabla direccion'!$BC$19:$BC$23</definedName>
    <definedName name="autocobertura">tablas!$AT$2:$AT$3</definedName>
    <definedName name="AV">'Tabla ID'!$B$26:$B$38</definedName>
    <definedName name="Balboa">'tabla direccion'!$AR$19:$AR$24</definedName>
    <definedName name="banco">tablas!$AO$2:$AO$75</definedName>
    <definedName name="Barú">'tabla direccion'!$P$19:$P$23</definedName>
    <definedName name="Besiko">'tabla direccion'!$BR$19:$BR$26</definedName>
    <definedName name="Bocas_del_Toro">'tabla direccion'!$C$2:$C$4</definedName>
    <definedName name="Boquerón">'tabla direccion'!$Q$19:$Q$26</definedName>
    <definedName name="Boquete">'tabla direccion'!$R$19:$R$24</definedName>
    <definedName name="Calobre">'tabla direccion'!$BD$19:$BD$30</definedName>
    <definedName name="canal">tablas!$AG$2:$AG$4</definedName>
    <definedName name="cantpagos">tablas!$AM$2:$AM$13</definedName>
    <definedName name="Cañazas">'tabla direccion'!$BE$19:$BE$26</definedName>
    <definedName name="Capira">'tabla direccion'!$AY$19:$AY$31</definedName>
    <definedName name="Cedula">'Tabla ID'!$E$2:$E$7</definedName>
    <definedName name="Cémaco">'tabla direccion'!$BP$19:$BP$21</definedName>
    <definedName name="Chagres">'tabla direccion'!$J$19:$J$25</definedName>
    <definedName name="Chame">'tabla direccion'!$AZ$19:$AZ$29</definedName>
    <definedName name="Changuinola">'tabla direccion'!$B$19:$B$30</definedName>
    <definedName name="Chepigana">'tabla direccion'!$AB$19:$AB$34</definedName>
    <definedName name="Chepo">'tabla direccion'!$AS$19:$AS$26</definedName>
    <definedName name="Chimán">'tabla direccion'!$AT$19:$AT$23</definedName>
    <definedName name="Chiriquí">'tabla direccion'!$F$2:$F$14</definedName>
    <definedName name="Chiriquí_Grande">'tabla direccion'!$C$19:$C$24</definedName>
    <definedName name="Chitré">'tabla direccion'!$AD$19:$AD$23</definedName>
    <definedName name="Coclé">'tabla direccion'!$D$2:$D$7</definedName>
    <definedName name="Colectivo_de_Vida">tablas!$Z$13:$Z$15</definedName>
    <definedName name="Colon">'tabla direccion'!$E$2:$E$6</definedName>
    <definedName name="Colón">'tabla direccion'!$K$19:$K$32</definedName>
    <definedName name="Comarca_Emberá">'tabla direccion'!$N$2:$N$3</definedName>
    <definedName name="Comarca_Guna_Yala">'tabla direccion'!$M$2</definedName>
    <definedName name="Comarca_Ngäbe_Bugle">'tabla direccion'!$O$2:$O$8</definedName>
    <definedName name="comercial">tablas!$BQ$15:$BQ$24</definedName>
    <definedName name="Daños_a_la_propiedad_ajena">tablas!$BX$22:$BX$28</definedName>
    <definedName name="Darién">'tabla direccion'!$G$2:$G$3</definedName>
    <definedName name="David">'tabla direccion'!$T$19:$T$28</definedName>
    <definedName name="Descuento_Automático_Tarjeta_de_Credito">tablas!$AB$8:$AB$9</definedName>
    <definedName name="Descuento_Automático_Tarjeta_de_Credito_Debito">tablas!$AC$8:$AC$9</definedName>
    <definedName name="dia">tablas!$M$2:$M$32</definedName>
    <definedName name="dircobro">tablas!$I$2:$I$3</definedName>
    <definedName name="Diremail">tablas!$BJ$2:$BJ$4</definedName>
    <definedName name="dirlaboral">tablas!$BH$2:$BH$3</definedName>
    <definedName name="Dolega">'tabla direccion'!$U$19:$U$26</definedName>
    <definedName name="Donoso">'tabla direccion'!$L$19:$L$24</definedName>
    <definedName name="E">'Tabla ID'!$C$26:$C$38</definedName>
    <definedName name="empleados">tablas!$C$2:$C$14</definedName>
    <definedName name="estadocivil">tablas!$BD$2:$BD$6</definedName>
    <definedName name="formadepago">tablas!$AB$2:$AB$5</definedName>
    <definedName name="frecuencia">tablas!$AK$2:$AK$5</definedName>
    <definedName name="Gastos_Médicos">tablas!$BY$22:$BY$26</definedName>
    <definedName name="Genero">tablas!$BB$2:$BB$3</definedName>
    <definedName name="Gualaca">'tabla direccion'!$V$19:$V$23</definedName>
    <definedName name="Guararé">'tabla direccion'!$AK$19:$AK$28</definedName>
    <definedName name="Herrera">'tabla direccion'!$H$2:$H$8</definedName>
    <definedName name="id">'Tabla ID'!$I$2:$I$5</definedName>
    <definedName name="ingresos">tablas!$T$2:$T$9</definedName>
    <definedName name="ingresosnat">tablas!$T$15:$T$18</definedName>
    <definedName name="Jurídica">'Tabla ID'!$M$6:$M$8</definedName>
    <definedName name="Kankintú">'tabla direccion'!$BS$19:$BS$27</definedName>
    <definedName name="Kusapín">'tabla direccion'!$BT$19:$BT$25</definedName>
    <definedName name="La_Chorrera">'tabla direccion'!$BA$19:$BA$36</definedName>
    <definedName name="La_Mesa">'tabla direccion'!$BF$19:$BF$24</definedName>
    <definedName name="La_Pintada">'tabla direccion'!$F$19:$F$25</definedName>
    <definedName name="Las_Minas">'tabla direccion'!$AE$19:$AE$25</definedName>
    <definedName name="Las_Palmas">'tabla direccion'!$BG$19:$BG$30</definedName>
    <definedName name="Las_Tablas">'tabla direccion'!$AL$19:$AL$42</definedName>
    <definedName name="Lesiones_Corporales">tablas!$BV$22:$BV$26</definedName>
    <definedName name="Los_Pozos">'tabla direccion'!$AF$19:$AF$27</definedName>
    <definedName name="Los_santos">'tabla direccion'!$I$2:$I$8</definedName>
    <definedName name="Los_Santos_">'tabla direccion'!$AM$19:$AM$32</definedName>
    <definedName name="Macaracas">'tabla direccion'!$AN$19:$AN$29</definedName>
    <definedName name="Mariato">'tabla direccion'!$BH$19:$BH$23</definedName>
    <definedName name="maspagos">tablas!$AT$7:$AT$16</definedName>
    <definedName name="medidas">tablas!$V$2:$V$4</definedName>
    <definedName name="Mensajería_Motos">AP!$Z$32:$Z$38</definedName>
    <definedName name="mes">tablas!$N$2:$N$13</definedName>
    <definedName name="Mina">'tabla direccion'!$BU$19:$BU$30</definedName>
    <definedName name="Mirono">'tabla direccion'!$BV$19:$BV$26</definedName>
    <definedName name="Montijo">'tabla direccion'!$BI$19:$BI$26</definedName>
    <definedName name="Moto">AP!$AA$32:$AA$38</definedName>
    <definedName name="N">'Tabla ID'!$D$26:$D$38</definedName>
    <definedName name="Natá">'tabla direccion'!$G$19:$G$24</definedName>
    <definedName name="Natural">'Tabla ID'!$N$6:$N$7</definedName>
    <definedName name="No">tablas!$J$6:$J$7</definedName>
    <definedName name="No_">tablas!$AZ$7:$AZ$38</definedName>
    <definedName name="Nole_Duima">'tabla direccion'!$BW$19:$BW$23</definedName>
    <definedName name="nro.dehijos">tablas!$BF$2:$BF$6</definedName>
    <definedName name="NT">'Tabla ID'!$D$2:$D$14</definedName>
    <definedName name="Ñurum">'tabla direccion'!$BX$19:$BX$27</definedName>
    <definedName name="Ocú">'tabla direccion'!$AG$19:$AG$25</definedName>
    <definedName name="ocupacion">tablas!$G$2:$G$220</definedName>
    <definedName name="Olá">'tabla direccion'!$H$19:$H$23</definedName>
    <definedName name="Otra_opción">tablas!$BT$25:$BT$27</definedName>
    <definedName name="Otro">'Tabla ID'!$F$2</definedName>
    <definedName name="Pais">tablas!$E$2:$E$252</definedName>
    <definedName name="paisred">'[1]tabla direccion'!$A$2</definedName>
    <definedName name="pan">'Tabla ID'!$U$2:$U$14</definedName>
    <definedName name="Panamá">'tabla direccion'!$A$2:$A$14</definedName>
    <definedName name="Panamá_">'tabla direccion'!$J$2:$J$7</definedName>
    <definedName name="Panama_Oeste">'tabla direccion'!$K$2:$K$6</definedName>
    <definedName name="Parita">'tabla direccion'!$AH$19:$AH$25</definedName>
    <definedName name="particular">tablas!$BP$15:$BP$17</definedName>
    <definedName name="Particular_">AP!$P$32:$P$38</definedName>
    <definedName name="PE">'Tabla ID'!$E$26:$E$38</definedName>
    <definedName name="Pedasí">'tabla direccion'!$AO$19:$AO$23</definedName>
    <definedName name="Penonomé">'tabla direccion'!$I$19:$I$28</definedName>
    <definedName name="pep">tablas!$R$2:$R$3</definedName>
    <definedName name="Pesé">'tabla direccion'!$AI$19:$AI$27</definedName>
    <definedName name="PI">'Tabla ID'!$A$26:$A$38</definedName>
    <definedName name="Pinogana">'tabla direccion'!$AC$19:$AC$27</definedName>
    <definedName name="Portobelo">'tabla direccion'!$M$19:$M$23</definedName>
    <definedName name="prima">tablas!$BP$2:$BP$6</definedName>
    <definedName name="Remedios">'tabla direccion'!$W$19:$W$23</definedName>
    <definedName name="Renacimiento">'tabla direccion'!$X$19:$X$26</definedName>
    <definedName name="respaldoeco">tablas!$BN$2:$BN$6</definedName>
    <definedName name="Río_De_Jesús">'tabla direccion'!$BJ$19:$BJ$23</definedName>
    <definedName name="Sambú">'tabla direccion'!$BQ$19:$BQ$20</definedName>
    <definedName name="San_Carlos">'tabla direccion'!$BB$19:$BB$27</definedName>
    <definedName name="San_Félix">'tabla direccion'!$Y$19:$Y$23</definedName>
    <definedName name="San_Francisco">'tabla direccion'!$BK$19:$BK$24</definedName>
    <definedName name="San_Lorenzo">'tabla direccion'!$Z$19:$Z$23</definedName>
    <definedName name="San_Miguelito">'tabla direccion'!$AV$19:$AV$27</definedName>
    <definedName name="Santa_Fé">'tabla direccion'!$BL$19:$BL$26</definedName>
    <definedName name="Santa_Isabel">'tabla direccion'!$N$19:$N$26</definedName>
    <definedName name="Santa_María">'tabla direccion'!$AJ$19:$AJ$23</definedName>
    <definedName name="Santiago">'tabla direccion'!$BM$19:$BM$30</definedName>
    <definedName name="Si">tablas!$I$6</definedName>
    <definedName name="Si_">tablas!$AY$7</definedName>
    <definedName name="Soná">'tabla direccion'!$BN$19:$BN$28</definedName>
    <definedName name="suma">tablas!$X$2:$X$8</definedName>
    <definedName name="Taboga">'tabla direccion'!$AW$19:$AW$21</definedName>
    <definedName name="tipodedir">tablas!$K$2:$K$3</definedName>
    <definedName name="Tipodeid">'Tabla ID'!$A$2:$A$3</definedName>
    <definedName name="tipodeidnat">'Tabla ID'!$Q$2:$Q$3</definedName>
    <definedName name="tipodepersona">'[1]Tabla ID'!$K$2:$K$3</definedName>
    <definedName name="tipodeseg">tablas!$Z$2:$Z$3</definedName>
    <definedName name="tipodir">tablas!$P$2:$P$3</definedName>
    <definedName name="tipoflota">tablas!$AY$2:$AY$3</definedName>
    <definedName name="tipopersona">'Tabla ID'!$M$2:$M$3</definedName>
    <definedName name="Tolé">'tabla direccion'!$AA$19:$AA$27</definedName>
    <definedName name="Tonosí">'tabla direccion'!$AQ$19:$AQ$29</definedName>
    <definedName name="Transporte_Colegial">AP!$W$32:$W$38</definedName>
    <definedName name="Transporte_Comercial_de_Carga">AP!$Y$32:$Y$38</definedName>
    <definedName name="Transporte_de_Empleados">AP!$V$32:$V$38</definedName>
    <definedName name="Transporte_de_Turismo">AP!$X$32:$X$38</definedName>
    <definedName name="Transporte_Público_Movilidad_Urbana">AP!$Q$32:$Q$38</definedName>
    <definedName name="Transporte_Público_Provincial">AP!$R$32:$R$38</definedName>
    <definedName name="Transporte_Público_Ruta_Interna">AP!$S$32:$S$38</definedName>
    <definedName name="Transporte_Público_Taxi_Rural">AP!$U$32:$U$38</definedName>
    <definedName name="Transporte_Público_Vehiculo_Modificado">AP!$T$32:$T$38</definedName>
    <definedName name="unpago">tablas!$AU$7</definedName>
    <definedName name="usoauto">tablas!$AW$2:$AW$3</definedName>
    <definedName name="Veraguas">'tabla direccion'!$L$2:$L$13</definedName>
    <definedName name="x">tablas!$BS$32:$BS$34</definedName>
    <definedName name="y">tablas!$BT$32:$BT$33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9" i="1" l="1"/>
  <c r="P69" i="1"/>
  <c r="Y71" i="1"/>
  <c r="W93" i="1"/>
  <c r="V93" i="1"/>
  <c r="Y66" i="1"/>
  <c r="M67" i="1"/>
  <c r="Y69" i="1"/>
  <c r="A69" i="1"/>
  <c r="H69" i="1"/>
  <c r="Z55" i="1"/>
  <c r="M36" i="1"/>
  <c r="H36" i="1"/>
  <c r="O69" i="1"/>
  <c r="G69" i="1"/>
  <c r="Z50" i="1"/>
  <c r="X32" i="1"/>
  <c r="BJ3" i="2"/>
  <c r="X15" i="1"/>
  <c r="BJ2" i="2"/>
  <c r="A16" i="1"/>
  <c r="O81" i="1"/>
  <c r="M76" i="1"/>
  <c r="G77" i="1"/>
  <c r="O49" i="1"/>
  <c r="X90" i="1"/>
  <c r="X89" i="1"/>
  <c r="B82" i="1"/>
  <c r="A80" i="1"/>
  <c r="A74" i="1"/>
  <c r="A85" i="1"/>
  <c r="A92" i="1"/>
  <c r="A138" i="1"/>
  <c r="B77" i="1"/>
  <c r="F65" i="1"/>
  <c r="D65" i="1"/>
  <c r="A75" i="1"/>
  <c r="T69" i="1"/>
  <c r="T67" i="1"/>
  <c r="P70" i="1"/>
  <c r="E67" i="1"/>
  <c r="A67" i="1"/>
  <c r="N65" i="1"/>
  <c r="Q65" i="1"/>
  <c r="T65" i="1"/>
  <c r="M65" i="1"/>
  <c r="A65" i="1"/>
  <c r="C65" i="1"/>
  <c r="N63" i="1"/>
  <c r="T63" i="1"/>
  <c r="I63" i="1"/>
  <c r="M63" i="1"/>
  <c r="E63" i="1"/>
  <c r="H63" i="1"/>
  <c r="A63" i="1"/>
  <c r="D63" i="1"/>
  <c r="O61" i="1"/>
  <c r="A120" i="1"/>
  <c r="C120" i="1"/>
  <c r="I119" i="1"/>
  <c r="M119" i="1"/>
  <c r="W99" i="1"/>
  <c r="A95" i="1"/>
  <c r="A96" i="1"/>
  <c r="C96" i="1"/>
  <c r="T61" i="1"/>
  <c r="N61" i="1"/>
  <c r="L61" i="1"/>
  <c r="M71" i="1"/>
  <c r="I71" i="1"/>
  <c r="X91" i="1"/>
  <c r="X88" i="1"/>
  <c r="X87" i="1"/>
  <c r="K98" i="1"/>
  <c r="M98" i="1"/>
  <c r="A100" i="1"/>
  <c r="I67" i="1"/>
  <c r="L67" i="1"/>
  <c r="F67" i="1"/>
  <c r="B108" i="1"/>
  <c r="K108" i="1"/>
  <c r="I96" i="1"/>
  <c r="P96" i="1"/>
  <c r="A98" i="1"/>
  <c r="J98" i="1"/>
  <c r="N98" i="1"/>
  <c r="T98" i="1"/>
  <c r="D96" i="1"/>
  <c r="H96" i="1"/>
  <c r="Q96" i="1"/>
  <c r="T96" i="1"/>
  <c r="E54" i="1"/>
  <c r="N54" i="1"/>
  <c r="O54" i="1"/>
  <c r="E56" i="1"/>
  <c r="N56" i="1"/>
  <c r="A56" i="1"/>
  <c r="D56" i="1"/>
  <c r="A54" i="1"/>
  <c r="D54" i="1"/>
  <c r="E51" i="1"/>
  <c r="N51" i="1"/>
  <c r="A51" i="1"/>
  <c r="D51" i="1"/>
  <c r="E49" i="1"/>
  <c r="N49" i="1"/>
  <c r="A49" i="1"/>
  <c r="D49" i="1"/>
  <c r="E42" i="1"/>
  <c r="A42" i="1"/>
  <c r="D41" i="1"/>
  <c r="A41" i="1"/>
  <c r="Z39" i="1"/>
  <c r="E39" i="1"/>
  <c r="D39" i="1"/>
  <c r="A39" i="1"/>
  <c r="Z38" i="1"/>
  <c r="P38" i="1"/>
  <c r="N38" i="1"/>
  <c r="K38" i="1"/>
  <c r="C38" i="1"/>
  <c r="A38" i="1"/>
  <c r="A27" i="1"/>
  <c r="T25" i="1"/>
  <c r="O25" i="1"/>
  <c r="N25" i="1"/>
  <c r="J25" i="1"/>
  <c r="I25" i="1"/>
  <c r="E25" i="1"/>
  <c r="N39" i="1"/>
  <c r="K39" i="1"/>
  <c r="P39" i="1"/>
  <c r="A20" i="1"/>
  <c r="T18" i="1"/>
  <c r="O18" i="1"/>
  <c r="J18" i="1"/>
  <c r="I18" i="1"/>
  <c r="E18" i="1"/>
  <c r="X11" i="1"/>
  <c r="Y68" i="1"/>
  <c r="B1" i="12"/>
  <c r="AL60" i="1"/>
  <c r="H4" i="12"/>
  <c r="H32" i="12"/>
  <c r="P32" i="12"/>
  <c r="I8" i="12"/>
  <c r="I36" i="12"/>
  <c r="T33" i="12"/>
  <c r="I12" i="12"/>
  <c r="I40" i="12"/>
  <c r="X33" i="12"/>
  <c r="H12" i="12"/>
  <c r="H40" i="12"/>
  <c r="X32" i="12"/>
  <c r="D13" i="12"/>
  <c r="F13" i="12"/>
  <c r="L14" i="12"/>
  <c r="L42" i="12"/>
  <c r="L13" i="12"/>
  <c r="L41" i="12"/>
  <c r="Y36" i="12"/>
  <c r="L12" i="12"/>
  <c r="L40" i="12"/>
  <c r="X36" i="12"/>
  <c r="L11" i="12"/>
  <c r="L39" i="12"/>
  <c r="W36" i="12"/>
  <c r="L10" i="12"/>
  <c r="L38" i="12"/>
  <c r="V36" i="12"/>
  <c r="J12" i="12"/>
  <c r="J40" i="12"/>
  <c r="X34" i="12"/>
  <c r="G14" i="12"/>
  <c r="F11" i="12"/>
  <c r="E12" i="12"/>
  <c r="M9" i="12"/>
  <c r="M37" i="12"/>
  <c r="U37" i="12"/>
  <c r="G9" i="12"/>
  <c r="M8" i="12"/>
  <c r="M36" i="12"/>
  <c r="T37" i="12"/>
  <c r="G8" i="12"/>
  <c r="M7" i="12"/>
  <c r="M35" i="12"/>
  <c r="S37" i="12"/>
  <c r="G7" i="12"/>
  <c r="M6" i="12"/>
  <c r="M34" i="12"/>
  <c r="R37" i="12"/>
  <c r="G6" i="12"/>
  <c r="M5" i="12"/>
  <c r="M33" i="12"/>
  <c r="Q37" i="12"/>
  <c r="G5" i="12"/>
  <c r="E4" i="12"/>
  <c r="K4" i="12"/>
  <c r="K32" i="12"/>
  <c r="P35" i="12"/>
  <c r="D10" i="12"/>
  <c r="D6" i="12"/>
  <c r="I13" i="12"/>
  <c r="I41" i="12"/>
  <c r="Y33" i="12"/>
  <c r="H5" i="12"/>
  <c r="H33" i="12"/>
  <c r="Q32" i="12"/>
  <c r="D14" i="12"/>
  <c r="M14" i="12"/>
  <c r="M42" i="12"/>
  <c r="M12" i="12"/>
  <c r="M40" i="12"/>
  <c r="X37" i="12"/>
  <c r="J13" i="12"/>
  <c r="J41" i="12"/>
  <c r="Y34" i="12"/>
  <c r="E13" i="12"/>
  <c r="J9" i="12"/>
  <c r="J37" i="12"/>
  <c r="U34" i="12"/>
  <c r="N7" i="12"/>
  <c r="N35" i="12"/>
  <c r="S38" i="12"/>
  <c r="N5" i="12"/>
  <c r="N33" i="12"/>
  <c r="Q38" i="12"/>
  <c r="L4" i="12"/>
  <c r="L32" i="12"/>
  <c r="P36" i="12"/>
  <c r="I11" i="12"/>
  <c r="I39" i="12"/>
  <c r="W33" i="12"/>
  <c r="I6" i="12"/>
  <c r="I34" i="12"/>
  <c r="R33" i="12"/>
  <c r="H9" i="12"/>
  <c r="H37" i="12"/>
  <c r="U32" i="12"/>
  <c r="D12" i="12"/>
  <c r="F12" i="12"/>
  <c r="K14" i="12"/>
  <c r="K42" i="12"/>
  <c r="K13" i="12"/>
  <c r="K41" i="12"/>
  <c r="Y35" i="12"/>
  <c r="K12" i="12"/>
  <c r="K40" i="12"/>
  <c r="X35" i="12"/>
  <c r="K11" i="12"/>
  <c r="K39" i="12"/>
  <c r="W35" i="12"/>
  <c r="K10" i="12"/>
  <c r="K38" i="12"/>
  <c r="V35" i="12"/>
  <c r="J11" i="12"/>
  <c r="J39" i="12"/>
  <c r="W34" i="12"/>
  <c r="G13" i="12"/>
  <c r="F10" i="12"/>
  <c r="E11" i="12"/>
  <c r="L9" i="12"/>
  <c r="L37" i="12"/>
  <c r="U36" i="12"/>
  <c r="F9" i="12"/>
  <c r="L8" i="12"/>
  <c r="L36" i="12"/>
  <c r="T36" i="12"/>
  <c r="F8" i="12"/>
  <c r="L7" i="12"/>
  <c r="L35" i="12"/>
  <c r="S36" i="12"/>
  <c r="F7" i="12"/>
  <c r="L6" i="12"/>
  <c r="L34" i="12"/>
  <c r="R36" i="12"/>
  <c r="F6" i="12"/>
  <c r="L5" i="12"/>
  <c r="L33" i="12"/>
  <c r="Q36" i="12"/>
  <c r="D4" i="12"/>
  <c r="N4" i="12"/>
  <c r="N32" i="12"/>
  <c r="P38" i="12"/>
  <c r="J4" i="12"/>
  <c r="J32" i="12"/>
  <c r="P34" i="12"/>
  <c r="D9" i="12"/>
  <c r="D5" i="12"/>
  <c r="D8" i="12"/>
  <c r="I9" i="12"/>
  <c r="I37" i="12"/>
  <c r="U33" i="12"/>
  <c r="G10" i="12"/>
  <c r="N8" i="12"/>
  <c r="N36" i="12"/>
  <c r="T38" i="12"/>
  <c r="J7" i="12"/>
  <c r="J35" i="12"/>
  <c r="S34" i="12"/>
  <c r="N6" i="12"/>
  <c r="N34" i="12"/>
  <c r="R38" i="12"/>
  <c r="J5" i="12"/>
  <c r="J33" i="12"/>
  <c r="Q34" i="12"/>
  <c r="F4" i="12"/>
  <c r="D7" i="12"/>
  <c r="I14" i="12"/>
  <c r="I42" i="12"/>
  <c r="I10" i="12"/>
  <c r="I38" i="12"/>
  <c r="V33" i="12"/>
  <c r="I5" i="12"/>
  <c r="I33" i="12"/>
  <c r="Q33" i="12"/>
  <c r="H8" i="12"/>
  <c r="H36" i="12"/>
  <c r="T32" i="12"/>
  <c r="D11" i="12"/>
  <c r="N14" i="12"/>
  <c r="N42" i="12"/>
  <c r="N13" i="12"/>
  <c r="N41" i="12"/>
  <c r="Y38" i="12"/>
  <c r="N12" i="12"/>
  <c r="N40" i="12"/>
  <c r="X38" i="12"/>
  <c r="N11" i="12"/>
  <c r="N39" i="12"/>
  <c r="W38" i="12"/>
  <c r="N10" i="12"/>
  <c r="N38" i="12"/>
  <c r="V38" i="12"/>
  <c r="J14" i="12"/>
  <c r="J42" i="12"/>
  <c r="J10" i="12"/>
  <c r="J38" i="12"/>
  <c r="V34" i="12"/>
  <c r="G12" i="12"/>
  <c r="E14" i="12"/>
  <c r="E10" i="12"/>
  <c r="K9" i="12"/>
  <c r="K37" i="12"/>
  <c r="U35" i="12"/>
  <c r="E9" i="12"/>
  <c r="K8" i="12"/>
  <c r="K36" i="12"/>
  <c r="T35" i="12"/>
  <c r="E8" i="12"/>
  <c r="K7" i="12"/>
  <c r="K35" i="12"/>
  <c r="S35" i="12"/>
  <c r="E7" i="12"/>
  <c r="K6" i="12"/>
  <c r="K34" i="12"/>
  <c r="R35" i="12"/>
  <c r="E6" i="12"/>
  <c r="K5" i="12"/>
  <c r="K33" i="12"/>
  <c r="Q35" i="12"/>
  <c r="F5" i="12"/>
  <c r="M4" i="12"/>
  <c r="M32" i="12"/>
  <c r="P37" i="12"/>
  <c r="G4" i="12"/>
  <c r="H13" i="12"/>
  <c r="H41" i="12"/>
  <c r="Y32" i="12"/>
  <c r="F14" i="12"/>
  <c r="M13" i="12"/>
  <c r="M41" i="12"/>
  <c r="Y37" i="12"/>
  <c r="M11" i="12"/>
  <c r="M39" i="12"/>
  <c r="W37" i="12"/>
  <c r="M10" i="12"/>
  <c r="M38" i="12"/>
  <c r="V37" i="12"/>
  <c r="G11" i="12"/>
  <c r="N9" i="12"/>
  <c r="N37" i="12"/>
  <c r="U38" i="12"/>
  <c r="J8" i="12"/>
  <c r="J36" i="12"/>
  <c r="T34" i="12"/>
  <c r="J6" i="12"/>
  <c r="J34" i="12"/>
  <c r="R34" i="12"/>
  <c r="E5" i="12"/>
  <c r="H6" i="12"/>
  <c r="H34" i="12"/>
  <c r="R32" i="12"/>
  <c r="H10" i="12"/>
  <c r="H38" i="12"/>
  <c r="V32" i="12"/>
  <c r="H14" i="12"/>
  <c r="H42" i="12"/>
  <c r="I7" i="12"/>
  <c r="I35" i="12"/>
  <c r="S33" i="12"/>
  <c r="H7" i="12"/>
  <c r="H35" i="12"/>
  <c r="S32" i="12"/>
  <c r="H11" i="12"/>
  <c r="H39" i="12"/>
  <c r="W32" i="12"/>
  <c r="I4" i="12"/>
  <c r="I32" i="12"/>
  <c r="P33" i="12"/>
  <c r="G42" i="12"/>
  <c r="F42" i="12"/>
  <c r="E42" i="12"/>
  <c r="D42" i="12"/>
  <c r="G41" i="12"/>
  <c r="F41" i="12"/>
  <c r="E41" i="12"/>
  <c r="D41" i="12"/>
  <c r="G40" i="12"/>
  <c r="F40" i="12"/>
  <c r="E40" i="12"/>
  <c r="D40" i="12"/>
  <c r="G39" i="12"/>
  <c r="F39" i="12"/>
  <c r="E39" i="12"/>
  <c r="D39" i="12"/>
  <c r="G38" i="12"/>
  <c r="F38" i="12"/>
  <c r="E38" i="12"/>
  <c r="D38" i="12"/>
  <c r="G37" i="12"/>
  <c r="F37" i="12"/>
  <c r="E37" i="12"/>
  <c r="D37" i="12"/>
  <c r="G36" i="12"/>
  <c r="F36" i="12"/>
  <c r="E36" i="12"/>
  <c r="D36" i="12"/>
  <c r="G35" i="12"/>
  <c r="F35" i="12"/>
  <c r="E35" i="12"/>
  <c r="D35" i="12"/>
  <c r="G34" i="12"/>
  <c r="F34" i="12"/>
  <c r="E34" i="12"/>
  <c r="D34" i="12"/>
  <c r="G33" i="12"/>
  <c r="F33" i="12"/>
  <c r="E33" i="12"/>
  <c r="D33" i="12"/>
  <c r="G32" i="12"/>
  <c r="F32" i="12"/>
  <c r="E32" i="12"/>
  <c r="D32" i="12"/>
  <c r="AA32" i="12"/>
  <c r="Z32" i="12"/>
  <c r="Z37" i="12"/>
  <c r="AA37" i="12"/>
  <c r="Z34" i="12"/>
  <c r="AA34" i="12"/>
  <c r="AA36" i="12"/>
  <c r="Z36" i="12"/>
  <c r="Z38" i="12"/>
  <c r="AA38" i="12"/>
  <c r="AA33" i="12"/>
  <c r="Z33" i="12"/>
  <c r="Z35" i="12"/>
  <c r="AA35" i="12"/>
  <c r="AP38" i="3"/>
  <c r="AP37" i="3"/>
</calcChain>
</file>

<file path=xl/sharedStrings.xml><?xml version="1.0" encoding="utf-8"?>
<sst xmlns="http://schemas.openxmlformats.org/spreadsheetml/2006/main" count="2785" uniqueCount="2022">
  <si>
    <t>*</t>
  </si>
  <si>
    <t>Agricultura</t>
  </si>
  <si>
    <t>Ganadería</t>
  </si>
  <si>
    <t>Caza</t>
  </si>
  <si>
    <t>Silvicultura</t>
  </si>
  <si>
    <t>Extracción de madera</t>
  </si>
  <si>
    <t>Pesca</t>
  </si>
  <si>
    <t>Acuicultura</t>
  </si>
  <si>
    <t>Extracción de carbón</t>
  </si>
  <si>
    <t>Extracción de lignito</t>
  </si>
  <si>
    <t>Extracción de turba</t>
  </si>
  <si>
    <t>Extracción de petróleo crudo</t>
  </si>
  <si>
    <t>Extracción de gas natural</t>
  </si>
  <si>
    <t>Extracción de minerales metalíferos</t>
  </si>
  <si>
    <t>Explotación de otras minas</t>
  </si>
  <si>
    <t>Explotación de cantera</t>
  </si>
  <si>
    <t>Actividades de apoyo a la explotación de minas</t>
  </si>
  <si>
    <t>Elaboración de productos alimenticios</t>
  </si>
  <si>
    <t>Elaboración de bebidas</t>
  </si>
  <si>
    <t>Elaboración de productos de tabaco</t>
  </si>
  <si>
    <t>Fabricación de productos textiles</t>
  </si>
  <si>
    <t>Fabricación de prendas de vestir</t>
  </si>
  <si>
    <t>Fabricación de cueros y productos conexos</t>
  </si>
  <si>
    <t>Producción de madera</t>
  </si>
  <si>
    <t>Fabricación de productos de madera y corcho</t>
  </si>
  <si>
    <t>Fabricación de artículos de paja</t>
  </si>
  <si>
    <t>Fabricación de papel</t>
  </si>
  <si>
    <t>Fabricación de productos de papel</t>
  </si>
  <si>
    <t>Fabricación de sustancias y productos químicos</t>
  </si>
  <si>
    <t>Fabricación de productos farmacéuticos</t>
  </si>
  <si>
    <t>Fabricación de sustancias químicas medicinales</t>
  </si>
  <si>
    <t>Fabricación de productos botánicos</t>
  </si>
  <si>
    <t>Fabricación de productos de caucho</t>
  </si>
  <si>
    <t>Fabricación de plástico</t>
  </si>
  <si>
    <t>Fabricación de otros productos minerales no metálicos</t>
  </si>
  <si>
    <t>Fabricación de metales comunes</t>
  </si>
  <si>
    <t>Fabricación de productos derivados del metal</t>
  </si>
  <si>
    <t>Fabricación de productos informáticos</t>
  </si>
  <si>
    <t>Fabricación de productos electrónicos</t>
  </si>
  <si>
    <t>Fabricación de productos ópticos</t>
  </si>
  <si>
    <t>Fabricación de equipo eléctrico</t>
  </si>
  <si>
    <t>Fabricación de equipo de uso domestico</t>
  </si>
  <si>
    <t>Fabricación de maquinaria y equipo n.c.p.</t>
  </si>
  <si>
    <t>Fabricación de vehículos automotores</t>
  </si>
  <si>
    <t>Fabricación de remolques</t>
  </si>
  <si>
    <t>Fabricación de vehículos semirremolques</t>
  </si>
  <si>
    <t>Fabricación de otros tipos de equipo de transporte</t>
  </si>
  <si>
    <t>Fabricación de muebles</t>
  </si>
  <si>
    <t>Otras industrias manufactureras</t>
  </si>
  <si>
    <t>Reparación, mantenimiento e instalación de maquinaria</t>
  </si>
  <si>
    <t>Reparación, mantenimiento e instalación de equipo comercial</t>
  </si>
  <si>
    <t>Reparación, mantenimiento e instalación de equipo industrial</t>
  </si>
  <si>
    <t>Suministro de electricidad</t>
  </si>
  <si>
    <t>Suministro de gas</t>
  </si>
  <si>
    <t>Suministro de vapor</t>
  </si>
  <si>
    <t>Suministro de aire acondicionado</t>
  </si>
  <si>
    <t>Captación, tratamiento y suministro de agua</t>
  </si>
  <si>
    <t>Alcantarillado</t>
  </si>
  <si>
    <t>Recolección, tratamiento  y eliminación de desechos</t>
  </si>
  <si>
    <t>Recuperación de materiales</t>
  </si>
  <si>
    <t>Actividades de saneamiento</t>
  </si>
  <si>
    <t>Otros servicios de gestión de desechos</t>
  </si>
  <si>
    <t>Construcción de edificios</t>
  </si>
  <si>
    <t>Ingeniería Civil</t>
  </si>
  <si>
    <t>Actividades especializadas de la construcción</t>
  </si>
  <si>
    <t>Comercio al por mayor en Zonas Francas</t>
  </si>
  <si>
    <t>Comercio al por mayor, en comisión y de vehículos automotores</t>
  </si>
  <si>
    <t>Comercio al por menor: mantenimiento y reparación de vehículos automotores y motocicletas</t>
  </si>
  <si>
    <t>Comercio al por menor en Zonas Francas</t>
  </si>
  <si>
    <t>Transporte por vías terrestres</t>
  </si>
  <si>
    <t>Transporte por tuberías</t>
  </si>
  <si>
    <t>Transporte por vía aérea</t>
  </si>
  <si>
    <t>Depósito y actividades de transporte complementarias</t>
  </si>
  <si>
    <t>Correo y servicios de mensajería</t>
  </si>
  <si>
    <t>Hoteles</t>
  </si>
  <si>
    <t>Campamentos</t>
  </si>
  <si>
    <t>Otros tipos de hospedaje temporales</t>
  </si>
  <si>
    <t>Restaurantes</t>
  </si>
  <si>
    <t>Bares</t>
  </si>
  <si>
    <t>Cantinas</t>
  </si>
  <si>
    <t>Actividades de Edición</t>
  </si>
  <si>
    <t>Actividades de producción de películas</t>
  </si>
  <si>
    <t>Actividades de producción de videocintas</t>
  </si>
  <si>
    <t>Actividades de producción de programas de televisión</t>
  </si>
  <si>
    <t>Actividades de producción de grabación</t>
  </si>
  <si>
    <t>Actividades de publicaciones de música y sonido</t>
  </si>
  <si>
    <t>Actividades de Programación y difusión</t>
  </si>
  <si>
    <t>Telecomunicaciones</t>
  </si>
  <si>
    <t>Actividades de la tecnología de la información</t>
  </si>
  <si>
    <t>Actividades del servicio informático</t>
  </si>
  <si>
    <t>Servicios financieros</t>
  </si>
  <si>
    <t>Seguros</t>
  </si>
  <si>
    <t>Reaseguros</t>
  </si>
  <si>
    <t>Fondos de pensiones</t>
  </si>
  <si>
    <t>Actividades financieras de los servicios financieros</t>
  </si>
  <si>
    <t>Actividades de seguros</t>
  </si>
  <si>
    <t>Actividades inmobiliarias</t>
  </si>
  <si>
    <t>Actividades jurídicas</t>
  </si>
  <si>
    <t>Actividades de contabilidad</t>
  </si>
  <si>
    <t>Actividades de oficinas centrales</t>
  </si>
  <si>
    <t>Actividades de administración de empresas</t>
  </si>
  <si>
    <t>Actividades de consultoría sobre administración de empresas</t>
  </si>
  <si>
    <t>Actividades de arquitectura</t>
  </si>
  <si>
    <t>Actividades de ingeniería</t>
  </si>
  <si>
    <t>Ensayos y análisis técnicos</t>
  </si>
  <si>
    <t>Investigación y desarrollo científicos</t>
  </si>
  <si>
    <t>Publicidad e investigación de mercados</t>
  </si>
  <si>
    <t>Otras actividades profesiones</t>
  </si>
  <si>
    <t>Otras actividades científicas</t>
  </si>
  <si>
    <t>Otras actividades técnicas</t>
  </si>
  <si>
    <t>Actividades veterinarias</t>
  </si>
  <si>
    <t>Actividades del alquiler y arrendamiento</t>
  </si>
  <si>
    <t>Actividades de las agencias de empleo</t>
  </si>
  <si>
    <t>Actividades de las agencias de viajes</t>
  </si>
  <si>
    <t>Actividades de operadores turísticos</t>
  </si>
  <si>
    <t>Actividades de servicios de reserva</t>
  </si>
  <si>
    <t>Actividades de seguridad e investigación</t>
  </si>
  <si>
    <t>Actividades de servicio a edificios y paisajes</t>
  </si>
  <si>
    <t>Actividades de oficinas administrativas</t>
  </si>
  <si>
    <t>Actividades de soporte de oficinas</t>
  </si>
  <si>
    <t>Otras actividades de soporte de negocios</t>
  </si>
  <si>
    <t>Administración publica y defensa</t>
  </si>
  <si>
    <t>Planes de seguridad social de afiliación obligatoria</t>
  </si>
  <si>
    <t>Enseñanza</t>
  </si>
  <si>
    <t>Actividades relacionadas con la salud humana</t>
  </si>
  <si>
    <t>Instituciones residenciales de cuidado</t>
  </si>
  <si>
    <t>Servicios sociales sin alojamiento</t>
  </si>
  <si>
    <t>Actividades del arte</t>
  </si>
  <si>
    <t>Actividades de entretenimiento</t>
  </si>
  <si>
    <t>Actividades de creatividad</t>
  </si>
  <si>
    <t>Bibliotecas</t>
  </si>
  <si>
    <t>Archivos</t>
  </si>
  <si>
    <t>Museos</t>
  </si>
  <si>
    <t>Otras actividades culturales</t>
  </si>
  <si>
    <t>Actividades de asociaciones</t>
  </si>
  <si>
    <t>Organizaciones</t>
  </si>
  <si>
    <t>Reparación y mantenimiento de computadoras</t>
  </si>
  <si>
    <t>Enseres de uso personal y domestico</t>
  </si>
  <si>
    <t>Otras actividades de servicios</t>
  </si>
  <si>
    <t>Empleadores de personal doméstico</t>
  </si>
  <si>
    <t>Actividades indiferenciadas de producción de bienes</t>
  </si>
  <si>
    <t>Actividades de los hogares privados para uso propio</t>
  </si>
  <si>
    <t>Actividades de organizaciones</t>
  </si>
  <si>
    <t>Actividades de órganos extraterritoriales</t>
  </si>
  <si>
    <t>Actividades no declaradas</t>
  </si>
  <si>
    <t>Actividadeconomica</t>
  </si>
  <si>
    <t>RUC</t>
  </si>
  <si>
    <t>NT</t>
  </si>
  <si>
    <t>Cedula</t>
  </si>
  <si>
    <t>Otro</t>
  </si>
  <si>
    <t>Tipo de ID</t>
  </si>
  <si>
    <t>_</t>
  </si>
  <si>
    <t>PI</t>
  </si>
  <si>
    <t>AV</t>
  </si>
  <si>
    <t>E</t>
  </si>
  <si>
    <t>N</t>
  </si>
  <si>
    <t>PE</t>
  </si>
  <si>
    <t>_1</t>
  </si>
  <si>
    <t>_2</t>
  </si>
  <si>
    <t>_3</t>
  </si>
  <si>
    <t>_4</t>
  </si>
  <si>
    <t>_5</t>
  </si>
  <si>
    <t>_6</t>
  </si>
  <si>
    <t>_7</t>
  </si>
  <si>
    <t>_8</t>
  </si>
  <si>
    <t>_9</t>
  </si>
  <si>
    <t>_10</t>
  </si>
  <si>
    <t>_11</t>
  </si>
  <si>
    <t>_12</t>
  </si>
  <si>
    <t>_13</t>
  </si>
  <si>
    <r>
      <rPr>
        <sz val="11"/>
        <color theme="0"/>
        <rFont val="Calibri"/>
        <family val="2"/>
        <scheme val="minor"/>
      </rPr>
      <t>_</t>
    </r>
    <r>
      <rPr>
        <sz val="11"/>
        <color theme="1"/>
        <rFont val="Calibri"/>
        <family val="2"/>
        <scheme val="minor"/>
      </rPr>
      <t>1</t>
    </r>
  </si>
  <si>
    <t>__</t>
  </si>
  <si>
    <t>tipodeid</t>
  </si>
  <si>
    <t>Empleados</t>
  </si>
  <si>
    <t>Panamá</t>
  </si>
  <si>
    <t>Afganistán</t>
  </si>
  <si>
    <t>Åland</t>
  </si>
  <si>
    <t>Albania</t>
  </si>
  <si>
    <t>Alemania</t>
  </si>
  <si>
    <t>Andorra</t>
  </si>
  <si>
    <t>Angola</t>
  </si>
  <si>
    <t>Anguila</t>
  </si>
  <si>
    <t>Antigua y Barbuda</t>
  </si>
  <si>
    <t>Arabia Saudita</t>
  </si>
  <si>
    <t>Argelia</t>
  </si>
  <si>
    <t>Argentina</t>
  </si>
  <si>
    <t>Armenia</t>
  </si>
  <si>
    <t>Aruba</t>
  </si>
  <si>
    <t>ARY Macedonia</t>
  </si>
  <si>
    <t>Australia</t>
  </si>
  <si>
    <t>Austria</t>
  </si>
  <si>
    <t>Azerbaiyán</t>
  </si>
  <si>
    <t>Bahamas</t>
  </si>
  <si>
    <t>Bahréin</t>
  </si>
  <si>
    <t>Bangladesh</t>
  </si>
  <si>
    <t>Barbados</t>
  </si>
  <si>
    <t>Bélgica</t>
  </si>
  <si>
    <t>Belice</t>
  </si>
  <si>
    <t>Benín</t>
  </si>
  <si>
    <t>Bermudas</t>
  </si>
  <si>
    <t>Bielorrusia</t>
  </si>
  <si>
    <t>Bolivia</t>
  </si>
  <si>
    <t>Bosnia y Herzegovina</t>
  </si>
  <si>
    <t>Botsuana</t>
  </si>
  <si>
    <t>Brasil</t>
  </si>
  <si>
    <t>Brunéi</t>
  </si>
  <si>
    <t>Bulgaria</t>
  </si>
  <si>
    <t>Burkina Faso</t>
  </si>
  <si>
    <t>Burundi</t>
  </si>
  <si>
    <t>Bután</t>
  </si>
  <si>
    <t>Cabo Verde</t>
  </si>
  <si>
    <t>Camboya</t>
  </si>
  <si>
    <t>Camerún</t>
  </si>
  <si>
    <t>Canadá</t>
  </si>
  <si>
    <t>Chad</t>
  </si>
  <si>
    <t>Chile</t>
  </si>
  <si>
    <t>China</t>
  </si>
  <si>
    <t>Chipre</t>
  </si>
  <si>
    <t>Ciudad del Vaticano</t>
  </si>
  <si>
    <t>Colombia</t>
  </si>
  <si>
    <t>Comoras</t>
  </si>
  <si>
    <t>Corea del Norte</t>
  </si>
  <si>
    <t>Corea del Sur</t>
  </si>
  <si>
    <t>Costa de Marfil</t>
  </si>
  <si>
    <t>Costa Rica</t>
  </si>
  <si>
    <t>Croacia</t>
  </si>
  <si>
    <t>Cuba</t>
  </si>
  <si>
    <t>Curazao</t>
  </si>
  <si>
    <t>Dinamarca</t>
  </si>
  <si>
    <t>Dominica</t>
  </si>
  <si>
    <t>Ecuador</t>
  </si>
  <si>
    <t>Egipto</t>
  </si>
  <si>
    <t>El Salvador</t>
  </si>
  <si>
    <t>Emiratos Árabes Unidos</t>
  </si>
  <si>
    <t>Eritrea</t>
  </si>
  <si>
    <t>Eslovaquia</t>
  </si>
  <si>
    <t>Eslovenia</t>
  </si>
  <si>
    <t>España</t>
  </si>
  <si>
    <t>Estados Unidos</t>
  </si>
  <si>
    <t>Estonia</t>
  </si>
  <si>
    <t>Filipinas</t>
  </si>
  <si>
    <t>Finlandia</t>
  </si>
  <si>
    <t>Fiyi</t>
  </si>
  <si>
    <t>Francia</t>
  </si>
  <si>
    <t>Gabón</t>
  </si>
  <si>
    <t>Gambia</t>
  </si>
  <si>
    <t>Georgia</t>
  </si>
  <si>
    <t>Ghana</t>
  </si>
  <si>
    <t>Gibraltar</t>
  </si>
  <si>
    <t>Granada</t>
  </si>
  <si>
    <t>Grecia</t>
  </si>
  <si>
    <t>Groenlandia</t>
  </si>
  <si>
    <t>Guadalupe</t>
  </si>
  <si>
    <t>Guam</t>
  </si>
  <si>
    <t>Guatemala</t>
  </si>
  <si>
    <t>Guayana Francesa</t>
  </si>
  <si>
    <t>Guernsey</t>
  </si>
  <si>
    <t>Guinea</t>
  </si>
  <si>
    <t>Guinea Ecuatorial</t>
  </si>
  <si>
    <t>Guinea-Bissau</t>
  </si>
  <si>
    <t>Guyana</t>
  </si>
  <si>
    <t>Haití</t>
  </si>
  <si>
    <t>Honduras</t>
  </si>
  <si>
    <t>Hong Kong</t>
  </si>
  <si>
    <t>Hungría</t>
  </si>
  <si>
    <t>India</t>
  </si>
  <si>
    <t>Indonesia</t>
  </si>
  <si>
    <t>Irán</t>
  </si>
  <si>
    <t>Iraq</t>
  </si>
  <si>
    <t>Irlanda</t>
  </si>
  <si>
    <t>Isla Bouvet</t>
  </si>
  <si>
    <t>Isla de Man</t>
  </si>
  <si>
    <t>Isla de Navidad</t>
  </si>
  <si>
    <t>Islandia</t>
  </si>
  <si>
    <t>Islas Caimán</t>
  </si>
  <si>
    <t>Islas Cocos</t>
  </si>
  <si>
    <t>Islas Cook</t>
  </si>
  <si>
    <t>Islas Feroe</t>
  </si>
  <si>
    <t>Islas Georgia del Sur y Sándwich del Sur</t>
  </si>
  <si>
    <t>Islas Heard y McDonald</t>
  </si>
  <si>
    <t>Islas Malvinas</t>
  </si>
  <si>
    <t>Islas Marianas del Norte</t>
  </si>
  <si>
    <t>Islas Marshall</t>
  </si>
  <si>
    <t>Islas Pitcairn</t>
  </si>
  <si>
    <t>Islas Salomón</t>
  </si>
  <si>
    <t>Islas Turcas y Caicos</t>
  </si>
  <si>
    <t>Islas ultramarinas de Estados Unidos</t>
  </si>
  <si>
    <t>Islas Vírgenes Británicas</t>
  </si>
  <si>
    <t>Islas Vírgenes Estadounidenses</t>
  </si>
  <si>
    <t>Israel</t>
  </si>
  <si>
    <t>Italia</t>
  </si>
  <si>
    <t>Jamaica</t>
  </si>
  <si>
    <t>Japón</t>
  </si>
  <si>
    <t>Jersey</t>
  </si>
  <si>
    <t>Jordania</t>
  </si>
  <si>
    <t>Kazajistán</t>
  </si>
  <si>
    <t>Kenia</t>
  </si>
  <si>
    <t>Kirguistán</t>
  </si>
  <si>
    <t>Kiribati</t>
  </si>
  <si>
    <t>Kuwait</t>
  </si>
  <si>
    <t>Laos</t>
  </si>
  <si>
    <t>Lesoto</t>
  </si>
  <si>
    <t>Letonia</t>
  </si>
  <si>
    <t>Líbano</t>
  </si>
  <si>
    <t>Liberia</t>
  </si>
  <si>
    <t>Libia</t>
  </si>
  <si>
    <t>Liechtenstein</t>
  </si>
  <si>
    <t>Lituania</t>
  </si>
  <si>
    <t>Luxemburgo</t>
  </si>
  <si>
    <t>Macao</t>
  </si>
  <si>
    <t>Madagascar</t>
  </si>
  <si>
    <t>Malasia</t>
  </si>
  <si>
    <t>Malawi</t>
  </si>
  <si>
    <t>Maldivas</t>
  </si>
  <si>
    <t>Malta</t>
  </si>
  <si>
    <t>Marruecos</t>
  </si>
  <si>
    <t>Martinica</t>
  </si>
  <si>
    <t>Mauricio</t>
  </si>
  <si>
    <t>Mauritania</t>
  </si>
  <si>
    <t>Mayotte</t>
  </si>
  <si>
    <t>México</t>
  </si>
  <si>
    <t>Micronesia</t>
  </si>
  <si>
    <t>Moldavia</t>
  </si>
  <si>
    <t>Mónaco</t>
  </si>
  <si>
    <t>Mongolia</t>
  </si>
  <si>
    <t>Montenegro</t>
  </si>
  <si>
    <t>Montserrat</t>
  </si>
  <si>
    <t>Mozambique</t>
  </si>
  <si>
    <t>Myanmar</t>
  </si>
  <si>
    <t>Namibia</t>
  </si>
  <si>
    <t>Nauru</t>
  </si>
  <si>
    <t>Nepal</t>
  </si>
  <si>
    <t>Nicaragua</t>
  </si>
  <si>
    <t>Níger</t>
  </si>
  <si>
    <t>Nigeria</t>
  </si>
  <si>
    <t>Niue</t>
  </si>
  <si>
    <t>Norfolk</t>
  </si>
  <si>
    <t>Noruega</t>
  </si>
  <si>
    <t>Nueva Caledonia</t>
  </si>
  <si>
    <t>Nueva Zelanda</t>
  </si>
  <si>
    <t>Omán</t>
  </si>
  <si>
    <t>Países Bajos</t>
  </si>
  <si>
    <t>Pakistán</t>
  </si>
  <si>
    <t>Palaos</t>
  </si>
  <si>
    <t>Palestina</t>
  </si>
  <si>
    <t>Papúa Nueva Guinea</t>
  </si>
  <si>
    <t>Paraguay</t>
  </si>
  <si>
    <t>Perú</t>
  </si>
  <si>
    <t>Polinesia Francesa</t>
  </si>
  <si>
    <t>Polonia</t>
  </si>
  <si>
    <t>Portugal</t>
  </si>
  <si>
    <t>Puerto Rico</t>
  </si>
  <si>
    <t>Qatar</t>
  </si>
  <si>
    <t>Reino Unido</t>
  </si>
  <si>
    <t>Republica Centroafricana</t>
  </si>
  <si>
    <t>Republica Checa</t>
  </si>
  <si>
    <t>Republica del Congo</t>
  </si>
  <si>
    <t>Republica Democrática del Congo</t>
  </si>
  <si>
    <t>Republica Dominicana</t>
  </si>
  <si>
    <t>Reunión</t>
  </si>
  <si>
    <t>Ruanda</t>
  </si>
  <si>
    <t>Rumania</t>
  </si>
  <si>
    <t>Rusia</t>
  </si>
  <si>
    <t>Sahara Occidental</t>
  </si>
  <si>
    <t>Samoa</t>
  </si>
  <si>
    <t>Samoa Americana</t>
  </si>
  <si>
    <t>San Bartolomé</t>
  </si>
  <si>
    <t>San Cristóbal y Nieves</t>
  </si>
  <si>
    <t>San Marino</t>
  </si>
  <si>
    <t>San Martin</t>
  </si>
  <si>
    <t>San Pedro y Miquelón</t>
  </si>
  <si>
    <t>San Vicente y las Granadinas</t>
  </si>
  <si>
    <t>Santa Helena</t>
  </si>
  <si>
    <t>Senegal</t>
  </si>
  <si>
    <t>Serbia</t>
  </si>
  <si>
    <t>Seychelles</t>
  </si>
  <si>
    <t>Sierra Leona</t>
  </si>
  <si>
    <t>Singapur</t>
  </si>
  <si>
    <t>Sint Maarten</t>
  </si>
  <si>
    <t>Siria</t>
  </si>
  <si>
    <t>Somalia</t>
  </si>
  <si>
    <t>Sri Lanka</t>
  </si>
  <si>
    <t>Suazilandia</t>
  </si>
  <si>
    <t>Sudáfrica</t>
  </si>
  <si>
    <t>Sudan del Sur</t>
  </si>
  <si>
    <t>Suecia</t>
  </si>
  <si>
    <t>Suiza</t>
  </si>
  <si>
    <t>Surinam</t>
  </si>
  <si>
    <t>Svalbard y Jan Mayen</t>
  </si>
  <si>
    <t>Tailandia</t>
  </si>
  <si>
    <t>Taiwán</t>
  </si>
  <si>
    <t>Tanzania</t>
  </si>
  <si>
    <t>Tayikistán</t>
  </si>
  <si>
    <t>Territorio Británico del Océano Indico</t>
  </si>
  <si>
    <t>Territorios Australes Franceses</t>
  </si>
  <si>
    <t>Timor Oriental</t>
  </si>
  <si>
    <t>Togo</t>
  </si>
  <si>
    <t>Tokelau</t>
  </si>
  <si>
    <t>Tonga</t>
  </si>
  <si>
    <t>Trinidad y Tobago</t>
  </si>
  <si>
    <t>Túnez</t>
  </si>
  <si>
    <t>Turkmenistán</t>
  </si>
  <si>
    <t>Turquía</t>
  </si>
  <si>
    <t>Tuvalu</t>
  </si>
  <si>
    <t>Ucrania</t>
  </si>
  <si>
    <t>Uganda</t>
  </si>
  <si>
    <t>Uruguay</t>
  </si>
  <si>
    <t>Uzbekistán</t>
  </si>
  <si>
    <t>Vanuatu</t>
  </si>
  <si>
    <t>Venezuela</t>
  </si>
  <si>
    <t>Vietnam</t>
  </si>
  <si>
    <t>Wallis y Futuna</t>
  </si>
  <si>
    <t>Yemen</t>
  </si>
  <si>
    <t>Yibuti</t>
  </si>
  <si>
    <t xml:space="preserve">Zambia </t>
  </si>
  <si>
    <t>Zimbabue</t>
  </si>
  <si>
    <t>Pais</t>
  </si>
  <si>
    <t>San Eustaquio</t>
  </si>
  <si>
    <t>Saba</t>
  </si>
  <si>
    <t>Bonaire</t>
  </si>
  <si>
    <t>Bocas_del_Toro</t>
  </si>
  <si>
    <t>Coclé</t>
  </si>
  <si>
    <t>Colon</t>
  </si>
  <si>
    <t>Chiriquí</t>
  </si>
  <si>
    <t>Darién</t>
  </si>
  <si>
    <t>Herrera</t>
  </si>
  <si>
    <t>Los_santos</t>
  </si>
  <si>
    <t>Panamá_</t>
  </si>
  <si>
    <t>Panama_Oeste</t>
  </si>
  <si>
    <t>Veraguas</t>
  </si>
  <si>
    <t>Comarca_Guna_Yala</t>
  </si>
  <si>
    <t>Comarca_Emberá</t>
  </si>
  <si>
    <t>Comarca_Ngäbe_Bugle</t>
  </si>
  <si>
    <t>_Bocas_Del_Toro</t>
  </si>
  <si>
    <t>Changuinola</t>
  </si>
  <si>
    <t>Chiriquí_Grande</t>
  </si>
  <si>
    <t>Aguadulce</t>
  </si>
  <si>
    <t>Antón</t>
  </si>
  <si>
    <t>La_Pintada</t>
  </si>
  <si>
    <t>Natá</t>
  </si>
  <si>
    <t>Olá</t>
  </si>
  <si>
    <t>Penonomé</t>
  </si>
  <si>
    <t>Chagres</t>
  </si>
  <si>
    <t>Colón</t>
  </si>
  <si>
    <t>Donoso</t>
  </si>
  <si>
    <t>Portobelo</t>
  </si>
  <si>
    <t>Santa_Isabel</t>
  </si>
  <si>
    <t>Alanje</t>
  </si>
  <si>
    <t>Barú</t>
  </si>
  <si>
    <t>Boquerón</t>
  </si>
  <si>
    <t>Boquete</t>
  </si>
  <si>
    <t>_Bugaba</t>
  </si>
  <si>
    <t>David</t>
  </si>
  <si>
    <t>Dolega</t>
  </si>
  <si>
    <t>Gualaca</t>
  </si>
  <si>
    <t>Remedios</t>
  </si>
  <si>
    <t>Renacimiento</t>
  </si>
  <si>
    <t>San_Félix</t>
  </si>
  <si>
    <t>San_Lorenzo</t>
  </si>
  <si>
    <t>Tolé</t>
  </si>
  <si>
    <t>Chepigana</t>
  </si>
  <si>
    <t>Pinogana</t>
  </si>
  <si>
    <t>Chitré</t>
  </si>
  <si>
    <t>Las_Minas</t>
  </si>
  <si>
    <t>Los_Pozos</t>
  </si>
  <si>
    <t>Ocú</t>
  </si>
  <si>
    <t>Parita</t>
  </si>
  <si>
    <t>Pesé</t>
  </si>
  <si>
    <t>Santa_María</t>
  </si>
  <si>
    <t>Guararé</t>
  </si>
  <si>
    <t>Las_Tablas</t>
  </si>
  <si>
    <t>Los_Santos_</t>
  </si>
  <si>
    <t>Macaracas</t>
  </si>
  <si>
    <t>Pedasí</t>
  </si>
  <si>
    <t>_Pocrí</t>
  </si>
  <si>
    <t>Tonosí</t>
  </si>
  <si>
    <t>Balboa</t>
  </si>
  <si>
    <t>Chepo</t>
  </si>
  <si>
    <t>Chimán</t>
  </si>
  <si>
    <t>_Panamá</t>
  </si>
  <si>
    <t>San_Miguelito</t>
  </si>
  <si>
    <t>Taboga</t>
  </si>
  <si>
    <t>Arraiján</t>
  </si>
  <si>
    <t>Capira</t>
  </si>
  <si>
    <t>Chame</t>
  </si>
  <si>
    <t>La_Chorrera</t>
  </si>
  <si>
    <t>San_Carlos</t>
  </si>
  <si>
    <t>Atalaya</t>
  </si>
  <si>
    <t>Calobre</t>
  </si>
  <si>
    <t>Cañazas</t>
  </si>
  <si>
    <t>La_Mesa</t>
  </si>
  <si>
    <t>Las_Palmas</t>
  </si>
  <si>
    <t>Mariato</t>
  </si>
  <si>
    <t>Montijo</t>
  </si>
  <si>
    <t>Río_De_Jesús</t>
  </si>
  <si>
    <t>San_Francisco</t>
  </si>
  <si>
    <t>Santa_Fé</t>
  </si>
  <si>
    <t>Santiago</t>
  </si>
  <si>
    <t>Soná</t>
  </si>
  <si>
    <t>_Comarca_Kuna_Yala</t>
  </si>
  <si>
    <t>Cémaco</t>
  </si>
  <si>
    <t>Sambú</t>
  </si>
  <si>
    <t>Besiko</t>
  </si>
  <si>
    <t>Kankintú</t>
  </si>
  <si>
    <t>Kusapín</t>
  </si>
  <si>
    <t>Mina</t>
  </si>
  <si>
    <t>Mirono</t>
  </si>
  <si>
    <t>Nole_Duima</t>
  </si>
  <si>
    <t>Ñurum</t>
  </si>
  <si>
    <t>Bastimentos</t>
  </si>
  <si>
    <t>Almirante</t>
  </si>
  <si>
    <t>Bajo Cedro</t>
  </si>
  <si>
    <t>Bocas Del Toro (Cabecera)</t>
  </si>
  <si>
    <t>Changuinola (Cabecera)</t>
  </si>
  <si>
    <t>Chiriquí Grande (Cabecera)</t>
  </si>
  <si>
    <t>Cauchero</t>
  </si>
  <si>
    <t>Cochigró</t>
  </si>
  <si>
    <t>Miramar</t>
  </si>
  <si>
    <t>Punta Laurel</t>
  </si>
  <si>
    <t>El Empalme</t>
  </si>
  <si>
    <t>Punta Peña</t>
  </si>
  <si>
    <t>Tierra Oscura</t>
  </si>
  <si>
    <t>Guabito</t>
  </si>
  <si>
    <t>Punta Robalo</t>
  </si>
  <si>
    <t>La Gloria</t>
  </si>
  <si>
    <t>Rambála</t>
  </si>
  <si>
    <t>Las Delicias</t>
  </si>
  <si>
    <t>Las Tablas</t>
  </si>
  <si>
    <t>Nance Del Risco</t>
  </si>
  <si>
    <t>Teribe</t>
  </si>
  <si>
    <t>Valle De Agua Arriba</t>
  </si>
  <si>
    <t>Valle Del Risco</t>
  </si>
  <si>
    <t>Aguadulce (Cabecera)</t>
  </si>
  <si>
    <t>Antón (Cabecera)</t>
  </si>
  <si>
    <t>El Harino</t>
  </si>
  <si>
    <t>Capellanía</t>
  </si>
  <si>
    <t>El Copé</t>
  </si>
  <si>
    <t>Cañaveral</t>
  </si>
  <si>
    <t>Barrios Unidos</t>
  </si>
  <si>
    <t>Caballero</t>
  </si>
  <si>
    <t>El Potrero</t>
  </si>
  <si>
    <t>El Caño</t>
  </si>
  <si>
    <t>El Palmar</t>
  </si>
  <si>
    <t>Chiguirí Arriba</t>
  </si>
  <si>
    <t>El Cristo</t>
  </si>
  <si>
    <t>Cabuya</t>
  </si>
  <si>
    <t>La Pintada (Cabecera)</t>
  </si>
  <si>
    <t>Guzmán</t>
  </si>
  <si>
    <t>El Picacho</t>
  </si>
  <si>
    <t>El Roble</t>
  </si>
  <si>
    <t>El Chirú</t>
  </si>
  <si>
    <t>Las Lomas</t>
  </si>
  <si>
    <t>Las Huacas</t>
  </si>
  <si>
    <t>La Pava</t>
  </si>
  <si>
    <t>El Coco</t>
  </si>
  <si>
    <t>Pocrí</t>
  </si>
  <si>
    <t>El Retiro</t>
  </si>
  <si>
    <t>Llano Grande</t>
  </si>
  <si>
    <t>Natá (Cabecera)</t>
  </si>
  <si>
    <t>Olá (Cabecera)</t>
  </si>
  <si>
    <t>Pajonal</t>
  </si>
  <si>
    <t>El Valle</t>
  </si>
  <si>
    <t>Llano Norte</t>
  </si>
  <si>
    <t>Toza</t>
  </si>
  <si>
    <t/>
  </si>
  <si>
    <t>Penonomé (Cabecera)</t>
  </si>
  <si>
    <t>Juan Díaz</t>
  </si>
  <si>
    <t>Piedras Gordas</t>
  </si>
  <si>
    <t>Río Grande</t>
  </si>
  <si>
    <t>Río Hato</t>
  </si>
  <si>
    <t>Río Indio</t>
  </si>
  <si>
    <t>San Juan De Dios</t>
  </si>
  <si>
    <t>Toabré</t>
  </si>
  <si>
    <t>Santa Rita</t>
  </si>
  <si>
    <t>Tulú</t>
  </si>
  <si>
    <t>Achiote</t>
  </si>
  <si>
    <t>Barrio Norte</t>
  </si>
  <si>
    <t>Coclé Del Norte</t>
  </si>
  <si>
    <t>Cacique</t>
  </si>
  <si>
    <t>Cuango</t>
  </si>
  <si>
    <t>El Guabo</t>
  </si>
  <si>
    <t>Barrio Sur</t>
  </si>
  <si>
    <t>El Guásimo</t>
  </si>
  <si>
    <t>Garrote</t>
  </si>
  <si>
    <t>La Encantada</t>
  </si>
  <si>
    <t>Buena Vista</t>
  </si>
  <si>
    <t>Gobea</t>
  </si>
  <si>
    <t>Isla Grande</t>
  </si>
  <si>
    <t>Nombre De Dios</t>
  </si>
  <si>
    <t>Nuevo Chagres (Cabecera)</t>
  </si>
  <si>
    <t>Cativá</t>
  </si>
  <si>
    <t>Miguel De La Borda (Cabecera)</t>
  </si>
  <si>
    <t>María Chiquita</t>
  </si>
  <si>
    <t>Palenque</t>
  </si>
  <si>
    <t>Palmas Bellas</t>
  </si>
  <si>
    <t>Ciricito</t>
  </si>
  <si>
    <t>Portobelo (Cabecera)</t>
  </si>
  <si>
    <t>Palmira</t>
  </si>
  <si>
    <t>Piña</t>
  </si>
  <si>
    <t>Cristóbal</t>
  </si>
  <si>
    <t>San José Del General</t>
  </si>
  <si>
    <t>Playa Chiquita</t>
  </si>
  <si>
    <t>Salud</t>
  </si>
  <si>
    <t>Escobal</t>
  </si>
  <si>
    <t>Santa Isabel</t>
  </si>
  <si>
    <t>Limón</t>
  </si>
  <si>
    <t>Viento Frío</t>
  </si>
  <si>
    <t>Nueva Providencia</t>
  </si>
  <si>
    <t>Puerto Pilón</t>
  </si>
  <si>
    <t>Sabanitas</t>
  </si>
  <si>
    <t>Salamanca</t>
  </si>
  <si>
    <t>San Juan</t>
  </si>
  <si>
    <t>Santa Rosa</t>
  </si>
  <si>
    <t>Alanje (Cabecera)</t>
  </si>
  <si>
    <t>Baco</t>
  </si>
  <si>
    <t>Bágala</t>
  </si>
  <si>
    <t>Alto Boquete</t>
  </si>
  <si>
    <t>Aserrio De Gariché</t>
  </si>
  <si>
    <t>Bijagual</t>
  </si>
  <si>
    <t>Dolega (Cabecera)</t>
  </si>
  <si>
    <t>Gualaca (Cabecera)</t>
  </si>
  <si>
    <t>El Nancito</t>
  </si>
  <si>
    <t>Breñon</t>
  </si>
  <si>
    <t>Juay</t>
  </si>
  <si>
    <t>Boca Chica</t>
  </si>
  <si>
    <t>Bella Vista</t>
  </si>
  <si>
    <t>Canta Gallo</t>
  </si>
  <si>
    <t>Limones</t>
  </si>
  <si>
    <t>Boquerón (Cabecera)</t>
  </si>
  <si>
    <t>Bajo Boquete (Cabecera)</t>
  </si>
  <si>
    <t>Bugaba</t>
  </si>
  <si>
    <t>Dos Ríos</t>
  </si>
  <si>
    <t>Hornito</t>
  </si>
  <si>
    <t>El Porvenir</t>
  </si>
  <si>
    <t>Cañas Gordas</t>
  </si>
  <si>
    <t>Lajas Adentro</t>
  </si>
  <si>
    <t>Boca Del Monte</t>
  </si>
  <si>
    <t>Cerro Viejo</t>
  </si>
  <si>
    <t>Divalá</t>
  </si>
  <si>
    <t>Progreso</t>
  </si>
  <si>
    <t>Cordillera</t>
  </si>
  <si>
    <t>Caldera</t>
  </si>
  <si>
    <t>Cerro Punta</t>
  </si>
  <si>
    <t>Cochea</t>
  </si>
  <si>
    <t>Los Algarrobos</t>
  </si>
  <si>
    <t>Los Ángeles</t>
  </si>
  <si>
    <t>El Puerto</t>
  </si>
  <si>
    <t>Dominical</t>
  </si>
  <si>
    <t>Las Lajas (Cabecera)</t>
  </si>
  <si>
    <t>Horconcitos (Cabecera)</t>
  </si>
  <si>
    <t>El Tejar</t>
  </si>
  <si>
    <t>Puerto Armuelles (Cabecera)</t>
  </si>
  <si>
    <t>Guabal</t>
  </si>
  <si>
    <t>Jaramillo</t>
  </si>
  <si>
    <t>El Bongo</t>
  </si>
  <si>
    <t>David (Cabecera)</t>
  </si>
  <si>
    <t>Los Anastacios</t>
  </si>
  <si>
    <t>Paja De Sombrero</t>
  </si>
  <si>
    <t>Remedios (Cabecera)</t>
  </si>
  <si>
    <t>Monte Lirio</t>
  </si>
  <si>
    <t>San Félix</t>
  </si>
  <si>
    <t>Justo Fidel Palacios</t>
  </si>
  <si>
    <t>Guarumal</t>
  </si>
  <si>
    <t>Rodolfo Aguilar Delgado</t>
  </si>
  <si>
    <t>Guayabal</t>
  </si>
  <si>
    <t>Los Naranjos</t>
  </si>
  <si>
    <t>Gómez</t>
  </si>
  <si>
    <t>Guacá</t>
  </si>
  <si>
    <t>Potrerillos</t>
  </si>
  <si>
    <t>Rincón</t>
  </si>
  <si>
    <t>Santa Lucía</t>
  </si>
  <si>
    <t>Plaza Caisán</t>
  </si>
  <si>
    <t>Santa Cruz</t>
  </si>
  <si>
    <t>San Lorenzo</t>
  </si>
  <si>
    <t>Lajas De Tolé</t>
  </si>
  <si>
    <t>Nuevo México</t>
  </si>
  <si>
    <t>Paraíso</t>
  </si>
  <si>
    <t>La Concepción (Cabecera)</t>
  </si>
  <si>
    <t>Potrerillos Abajo</t>
  </si>
  <si>
    <t>Río Sereno (Cabecera)</t>
  </si>
  <si>
    <t>Potrero De Caña</t>
  </si>
  <si>
    <t>Palo Grande</t>
  </si>
  <si>
    <t>Pedregal</t>
  </si>
  <si>
    <t>La Estrella</t>
  </si>
  <si>
    <t>Rovira</t>
  </si>
  <si>
    <t>Santa Clara</t>
  </si>
  <si>
    <t>Quebrada De Piedra</t>
  </si>
  <si>
    <t>Querevalo</t>
  </si>
  <si>
    <t>Tijeras</t>
  </si>
  <si>
    <t>San Andrés</t>
  </si>
  <si>
    <t>San Carlos</t>
  </si>
  <si>
    <t>Tinajas</t>
  </si>
  <si>
    <t>Tolé (Cabecera)</t>
  </si>
  <si>
    <t>Santo Tomas</t>
  </si>
  <si>
    <t>Santa Marta</t>
  </si>
  <si>
    <t>San Pablo Nuevo</t>
  </si>
  <si>
    <t>Veladero</t>
  </si>
  <si>
    <t>San Pablo Viejo</t>
  </si>
  <si>
    <t>Santo Domingo</t>
  </si>
  <si>
    <t>Sortová</t>
  </si>
  <si>
    <t>Volcán</t>
  </si>
  <si>
    <t>Agua Fría</t>
  </si>
  <si>
    <t>Boca De Cupe</t>
  </si>
  <si>
    <t>Camoganti</t>
  </si>
  <si>
    <t>Comarca Kuna De Wargandi</t>
  </si>
  <si>
    <t>El Real De Santa María (Cabecera)</t>
  </si>
  <si>
    <t>Cucunatí</t>
  </si>
  <si>
    <t>Metetí</t>
  </si>
  <si>
    <t>Garachiné</t>
  </si>
  <si>
    <t>Paya</t>
  </si>
  <si>
    <t>Jaqué</t>
  </si>
  <si>
    <t>La Palma (Cabecera)</t>
  </si>
  <si>
    <t>Pucuro</t>
  </si>
  <si>
    <t>Puerto Piña</t>
  </si>
  <si>
    <t>Yape</t>
  </si>
  <si>
    <t>Río Congo</t>
  </si>
  <si>
    <t>Yaviza</t>
  </si>
  <si>
    <t>Río Congo Arriba</t>
  </si>
  <si>
    <t>Río Iglesias</t>
  </si>
  <si>
    <t>Sambu</t>
  </si>
  <si>
    <t>Santa Fe</t>
  </si>
  <si>
    <t>Setegantí</t>
  </si>
  <si>
    <t>Taimatí</t>
  </si>
  <si>
    <t>Tucutí</t>
  </si>
  <si>
    <t>Chitré (Cabecera)</t>
  </si>
  <si>
    <t>Capuri</t>
  </si>
  <si>
    <t>Cerro Largo</t>
  </si>
  <si>
    <t>El Barrero</t>
  </si>
  <si>
    <t>Chupampa</t>
  </si>
  <si>
    <t>La Arena</t>
  </si>
  <si>
    <t>Chumical</t>
  </si>
  <si>
    <t>El Calabacito</t>
  </si>
  <si>
    <t>El Tijera</t>
  </si>
  <si>
    <t>Llano De La Cruz</t>
  </si>
  <si>
    <t>El Ciruelo</t>
  </si>
  <si>
    <t>El Limón</t>
  </si>
  <si>
    <t>Llano Bonito</t>
  </si>
  <si>
    <t>El Toro</t>
  </si>
  <si>
    <t>El Cedro</t>
  </si>
  <si>
    <t>Los Castillos</t>
  </si>
  <si>
    <t>El Pajaro</t>
  </si>
  <si>
    <t>El Rincón</t>
  </si>
  <si>
    <t>Monagrillo</t>
  </si>
  <si>
    <t>Las Minas (Cabecera)</t>
  </si>
  <si>
    <t>Los Llanos</t>
  </si>
  <si>
    <t>París</t>
  </si>
  <si>
    <t>El Pedregoso</t>
  </si>
  <si>
    <t>Los Canelos</t>
  </si>
  <si>
    <t>San Juan Bautista</t>
  </si>
  <si>
    <t>Leones</t>
  </si>
  <si>
    <t>La Pitaloza</t>
  </si>
  <si>
    <t>Menchaca</t>
  </si>
  <si>
    <t>Parita (Cabecera)</t>
  </si>
  <si>
    <t>Las Cabras</t>
  </si>
  <si>
    <t>Santa María (Cabecera)</t>
  </si>
  <si>
    <t>Quebrada Del Rosario</t>
  </si>
  <si>
    <t>Las Llanas</t>
  </si>
  <si>
    <t>Ocú (Cabecera)</t>
  </si>
  <si>
    <t>Portobelillo</t>
  </si>
  <si>
    <t>Pesé (Cabecera)</t>
  </si>
  <si>
    <t>Quebrada El Ciprian</t>
  </si>
  <si>
    <t>Los Cerritos</t>
  </si>
  <si>
    <t>Peñas Chatas</t>
  </si>
  <si>
    <t>Potuga</t>
  </si>
  <si>
    <t>Rincon Hondo</t>
  </si>
  <si>
    <t>Los Cerros De Paja</t>
  </si>
  <si>
    <t>Rincón Hondo</t>
  </si>
  <si>
    <t>Los Pozos (Cabecera)</t>
  </si>
  <si>
    <t>Sabanagrande</t>
  </si>
  <si>
    <t>El Espinal</t>
  </si>
  <si>
    <t>Bajo Corral</t>
  </si>
  <si>
    <t>Agua Buena</t>
  </si>
  <si>
    <t>Bahía Honda</t>
  </si>
  <si>
    <t>Los Asientos</t>
  </si>
  <si>
    <t>El Cañafistulo</t>
  </si>
  <si>
    <t>Altos De Guera</t>
  </si>
  <si>
    <t>El Hato</t>
  </si>
  <si>
    <t>Bayano</t>
  </si>
  <si>
    <t>Bajos De Guera</t>
  </si>
  <si>
    <t>Mariabé</t>
  </si>
  <si>
    <t>Lajamina</t>
  </si>
  <si>
    <t>Cambutal</t>
  </si>
  <si>
    <t>El Macano</t>
  </si>
  <si>
    <t>El Carate</t>
  </si>
  <si>
    <t>La Colorada</t>
  </si>
  <si>
    <t>Chupá</t>
  </si>
  <si>
    <t>Oria Arriba</t>
  </si>
  <si>
    <t>Cañas</t>
  </si>
  <si>
    <t>Guararé (Cabecera)</t>
  </si>
  <si>
    <t>El Cocal</t>
  </si>
  <si>
    <t>La Espigadilla</t>
  </si>
  <si>
    <t>Corozal</t>
  </si>
  <si>
    <t>Pedasí (Cabecera)</t>
  </si>
  <si>
    <t>Paritilla</t>
  </si>
  <si>
    <t>El Bebedero</t>
  </si>
  <si>
    <t>Guararé Arriba</t>
  </si>
  <si>
    <t>El Manantial</t>
  </si>
  <si>
    <t>La Villa De Los Santos (Cabecera)</t>
  </si>
  <si>
    <t>Purio</t>
  </si>
  <si>
    <t>Pocrí (Cabecera)</t>
  </si>
  <si>
    <t>El Cacao</t>
  </si>
  <si>
    <t>La Enea</t>
  </si>
  <si>
    <t>El Muñoz</t>
  </si>
  <si>
    <t>Las Cruces</t>
  </si>
  <si>
    <t>Espino Amarillo</t>
  </si>
  <si>
    <t>El Cortezo</t>
  </si>
  <si>
    <t>La Pasera</t>
  </si>
  <si>
    <t>Las Guabas</t>
  </si>
  <si>
    <t>La Mesa</t>
  </si>
  <si>
    <t>Flores</t>
  </si>
  <si>
    <t>Las Trancas</t>
  </si>
  <si>
    <t>La Laja</t>
  </si>
  <si>
    <t>Llano Largo</t>
  </si>
  <si>
    <t>Las Palmas</t>
  </si>
  <si>
    <t>Guánico</t>
  </si>
  <si>
    <t>Llano Abajo</t>
  </si>
  <si>
    <t>La Miel</t>
  </si>
  <si>
    <t>Llano De Piedra</t>
  </si>
  <si>
    <t>Isla De Cañas</t>
  </si>
  <si>
    <t>Perales</t>
  </si>
  <si>
    <t>La Palma</t>
  </si>
  <si>
    <t>Los Olivos</t>
  </si>
  <si>
    <t>Macaracas (Cabecera)</t>
  </si>
  <si>
    <t>La Tronosa</t>
  </si>
  <si>
    <t>La Tiza</t>
  </si>
  <si>
    <t>Mogollón</t>
  </si>
  <si>
    <t>Tonosí (Cabecera)</t>
  </si>
  <si>
    <t>Las Palmitas</t>
  </si>
  <si>
    <t>Santa Ana</t>
  </si>
  <si>
    <t>Las Tablas (Cabecera)</t>
  </si>
  <si>
    <t>Tres Quebradas</t>
  </si>
  <si>
    <t>Las Tablas Abajo</t>
  </si>
  <si>
    <t>Villa Lourdes</t>
  </si>
  <si>
    <t>Nuario</t>
  </si>
  <si>
    <t>Peña Blanca</t>
  </si>
  <si>
    <t>Río Hondo</t>
  </si>
  <si>
    <t>San José</t>
  </si>
  <si>
    <t>San Miguel</t>
  </si>
  <si>
    <t>Sesteadero</t>
  </si>
  <si>
    <t>Valle Rico</t>
  </si>
  <si>
    <t>Vallerriquito</t>
  </si>
  <si>
    <t>La Ensenada</t>
  </si>
  <si>
    <t>Cañita</t>
  </si>
  <si>
    <t>Brujas</t>
  </si>
  <si>
    <t>24 De Diciembre</t>
  </si>
  <si>
    <t>Amelia Denis De Icaza</t>
  </si>
  <si>
    <t>Otoque Occidente</t>
  </si>
  <si>
    <t>La Esmeralda</t>
  </si>
  <si>
    <t>Chepillo</t>
  </si>
  <si>
    <t>Chimán (Cabecera)</t>
  </si>
  <si>
    <t>Alcalde Díaz</t>
  </si>
  <si>
    <t>Arnulfo Arias</t>
  </si>
  <si>
    <t>Otoque Oriente</t>
  </si>
  <si>
    <t>La Guinea</t>
  </si>
  <si>
    <t>Chepo (Cabecera)</t>
  </si>
  <si>
    <t>Gonzalo Vásquez</t>
  </si>
  <si>
    <t>Ancón</t>
  </si>
  <si>
    <t>Belisario Frias</t>
  </si>
  <si>
    <t>Pedro González</t>
  </si>
  <si>
    <t>Comarca Kuna De Madungandi</t>
  </si>
  <si>
    <t>Pasiga</t>
  </si>
  <si>
    <t>Belisario Porras</t>
  </si>
  <si>
    <t>Saboga</t>
  </si>
  <si>
    <t>El Llano</t>
  </si>
  <si>
    <t>Unión Santeña</t>
  </si>
  <si>
    <t>Betania</t>
  </si>
  <si>
    <t>José Domingo Espinar</t>
  </si>
  <si>
    <t>San Miguel (Cabecera)</t>
  </si>
  <si>
    <t>Las Margaritas</t>
  </si>
  <si>
    <t>Chilíbre</t>
  </si>
  <si>
    <t>Mateo Iturralde</t>
  </si>
  <si>
    <t>Santa Cruz De Chinina</t>
  </si>
  <si>
    <t>Curundú</t>
  </si>
  <si>
    <t>Omar Torrijos</t>
  </si>
  <si>
    <t>Tortí</t>
  </si>
  <si>
    <t>El Chorrillo</t>
  </si>
  <si>
    <t>Rufina Alfaro</t>
  </si>
  <si>
    <t>Ernesto Córdoba Campos</t>
  </si>
  <si>
    <t>Victoriano Lorenzo</t>
  </si>
  <si>
    <t>La Exposición O Calidonia</t>
  </si>
  <si>
    <t>Las Cumbres</t>
  </si>
  <si>
    <t>Las Mañanitas</t>
  </si>
  <si>
    <t>Pacora</t>
  </si>
  <si>
    <t>Parque Lefevre</t>
  </si>
  <si>
    <t>Pueblo Nuevo</t>
  </si>
  <si>
    <t>Río Abajo</t>
  </si>
  <si>
    <t>San Felipe</t>
  </si>
  <si>
    <t>San Francisco</t>
  </si>
  <si>
    <t>San Martín</t>
  </si>
  <si>
    <t>Tocumen</t>
  </si>
  <si>
    <t>Arraiján (Cabecera)</t>
  </si>
  <si>
    <t>Caimito</t>
  </si>
  <si>
    <t>Bejuco</t>
  </si>
  <si>
    <t>Amador</t>
  </si>
  <si>
    <t>El Espino</t>
  </si>
  <si>
    <t>Burunga</t>
  </si>
  <si>
    <t>Campana</t>
  </si>
  <si>
    <t>Buenos Aires</t>
  </si>
  <si>
    <t>Arosemena</t>
  </si>
  <si>
    <t>El Higo</t>
  </si>
  <si>
    <t>Cerro Silvestre</t>
  </si>
  <si>
    <t>Capira (Cabecera)</t>
  </si>
  <si>
    <t>Barrio Balboa</t>
  </si>
  <si>
    <t>Guayabito</t>
  </si>
  <si>
    <t>Juan Demostenes Arosemena</t>
  </si>
  <si>
    <t>Cermeño</t>
  </si>
  <si>
    <t>Chame (Cabecera)</t>
  </si>
  <si>
    <t>Barrio Colón</t>
  </si>
  <si>
    <t>La Ermita</t>
  </si>
  <si>
    <t>Nuevo Emperador</t>
  </si>
  <si>
    <t>Ciri De Los Sotos</t>
  </si>
  <si>
    <t>Chicá</t>
  </si>
  <si>
    <t>El Arado</t>
  </si>
  <si>
    <t>La Laguna</t>
  </si>
  <si>
    <t>Ciri Grande</t>
  </si>
  <si>
    <t>El Líbano</t>
  </si>
  <si>
    <t>Las Uvas</t>
  </si>
  <si>
    <t>Veracruz</t>
  </si>
  <si>
    <t>Las Lajas</t>
  </si>
  <si>
    <t>Feuillet</t>
  </si>
  <si>
    <t>Los Llanitos</t>
  </si>
  <si>
    <t>Vista Alegre</t>
  </si>
  <si>
    <t>La Trinidad</t>
  </si>
  <si>
    <t>Nueva Gorgona</t>
  </si>
  <si>
    <t>San Carlos (Cabecera)</t>
  </si>
  <si>
    <t>Las Ollas Arriba</t>
  </si>
  <si>
    <t>Punta Chame</t>
  </si>
  <si>
    <t>Lídice</t>
  </si>
  <si>
    <t>Sajalices</t>
  </si>
  <si>
    <t>Hurtado</t>
  </si>
  <si>
    <t>Sorá</t>
  </si>
  <si>
    <t>Iturralde</t>
  </si>
  <si>
    <t>Villa Carmen</t>
  </si>
  <si>
    <t>La Represa</t>
  </si>
  <si>
    <t>Villa Rosario</t>
  </si>
  <si>
    <t>Los Díaz</t>
  </si>
  <si>
    <t>Mendoza</t>
  </si>
  <si>
    <t>Obaldía</t>
  </si>
  <si>
    <t>Playa Leona</t>
  </si>
  <si>
    <t>Puerto Caimito</t>
  </si>
  <si>
    <t>Atalaya (Cabecera)</t>
  </si>
  <si>
    <t>Barnizal</t>
  </si>
  <si>
    <t>Cañazas (Cabecera)</t>
  </si>
  <si>
    <t>Bisvalles</t>
  </si>
  <si>
    <t>Cerro De Casa</t>
  </si>
  <si>
    <t>Arenas</t>
  </si>
  <si>
    <t>Cébaco</t>
  </si>
  <si>
    <t>Catorce De Noviembre</t>
  </si>
  <si>
    <t>Corral Falso</t>
  </si>
  <si>
    <t>Calovébora</t>
  </si>
  <si>
    <t>Canto Del Llano</t>
  </si>
  <si>
    <t>El Barrito</t>
  </si>
  <si>
    <t>Calobre (Cabecera)</t>
  </si>
  <si>
    <t>Cerro Plata</t>
  </si>
  <si>
    <t>Boró</t>
  </si>
  <si>
    <t>Costa Hermosa</t>
  </si>
  <si>
    <t>Los Hatillos</t>
  </si>
  <si>
    <t>El Alto</t>
  </si>
  <si>
    <t>Carlos Santana Ávila</t>
  </si>
  <si>
    <t>Calidonia</t>
  </si>
  <si>
    <t>La Carrillo</t>
  </si>
  <si>
    <t>Chitra</t>
  </si>
  <si>
    <t>El Aromillo</t>
  </si>
  <si>
    <t>La Mesa (Cabecera)</t>
  </si>
  <si>
    <t>El María</t>
  </si>
  <si>
    <t>Llano De Catival O Mariato (Cabecera)</t>
  </si>
  <si>
    <t>Gobernadora</t>
  </si>
  <si>
    <t>Remance</t>
  </si>
  <si>
    <t>El Cuay</t>
  </si>
  <si>
    <t>Edwin Fabrega</t>
  </si>
  <si>
    <t>Cative</t>
  </si>
  <si>
    <t>La Montañuela</t>
  </si>
  <si>
    <t>El Cocla</t>
  </si>
  <si>
    <t>El Picador</t>
  </si>
  <si>
    <t>El Prado</t>
  </si>
  <si>
    <t>Quebro</t>
  </si>
  <si>
    <t>La Garceana</t>
  </si>
  <si>
    <t>Río De Jesus (Cabecera)</t>
  </si>
  <si>
    <t>San Francisco (Cabecera)</t>
  </si>
  <si>
    <t>El Pantano</t>
  </si>
  <si>
    <t>El Marañon</t>
  </si>
  <si>
    <t>San Antonio</t>
  </si>
  <si>
    <t>Los Milagros</t>
  </si>
  <si>
    <t>Tebario</t>
  </si>
  <si>
    <t>Utira</t>
  </si>
  <si>
    <t>Gatu O Gatucito</t>
  </si>
  <si>
    <t>La Peña</t>
  </si>
  <si>
    <t>Los Valles</t>
  </si>
  <si>
    <t>San Bartolo</t>
  </si>
  <si>
    <t>Las Palmas (Cabecera)</t>
  </si>
  <si>
    <t>Río Luis</t>
  </si>
  <si>
    <t>La Raya De Santa María</t>
  </si>
  <si>
    <t>La Soledad</t>
  </si>
  <si>
    <t>La Raya De Calobre</t>
  </si>
  <si>
    <t>Lolá</t>
  </si>
  <si>
    <t>Pilón</t>
  </si>
  <si>
    <t>Ruben Cantú</t>
  </si>
  <si>
    <t>Quebrada De Oro</t>
  </si>
  <si>
    <t>La Tetilla</t>
  </si>
  <si>
    <t>San Marcelo</t>
  </si>
  <si>
    <t>Pixvae</t>
  </si>
  <si>
    <t>Unión Del Norte</t>
  </si>
  <si>
    <t>Santa Fe (Cabecera)</t>
  </si>
  <si>
    <t>Ponuga</t>
  </si>
  <si>
    <t>La Yeguada</t>
  </si>
  <si>
    <t>Puerto Vidal</t>
  </si>
  <si>
    <t>San Martín De Porres</t>
  </si>
  <si>
    <t>Rodeo Viejo</t>
  </si>
  <si>
    <t>Las Guías</t>
  </si>
  <si>
    <t>San Pedro Del Espino</t>
  </si>
  <si>
    <t>Soná (Cabecera)</t>
  </si>
  <si>
    <t>Monjaras</t>
  </si>
  <si>
    <t>Viguí</t>
  </si>
  <si>
    <t>Santiago (Cabecera)</t>
  </si>
  <si>
    <t>Zapotillo</t>
  </si>
  <si>
    <t>Urracá</t>
  </si>
  <si>
    <t>Ailigandi</t>
  </si>
  <si>
    <t>Nargana (Cabecera)</t>
  </si>
  <si>
    <t>Puerto Obaldía</t>
  </si>
  <si>
    <t>Tubualá</t>
  </si>
  <si>
    <t>Cirilo Guainora (Cababecera)</t>
  </si>
  <si>
    <t>Jingurudo</t>
  </si>
  <si>
    <t>Lajas Blancas</t>
  </si>
  <si>
    <t>Río Sábalo</t>
  </si>
  <si>
    <t>Manuel Ortega</t>
  </si>
  <si>
    <t>Boca De Balsa</t>
  </si>
  <si>
    <t>Bisira (Cabecera)</t>
  </si>
  <si>
    <t>Bahía Azul</t>
  </si>
  <si>
    <t>Alto Caballero</t>
  </si>
  <si>
    <t>Cascabel</t>
  </si>
  <si>
    <t>Cerro Iglesias (Cabecera)</t>
  </si>
  <si>
    <t>Agua De Salud</t>
  </si>
  <si>
    <t>Camarón Arriba</t>
  </si>
  <si>
    <t>Burí</t>
  </si>
  <si>
    <t>Calovébora O Santa Catalina</t>
  </si>
  <si>
    <t>Bakama</t>
  </si>
  <si>
    <t>Hato Corotú</t>
  </si>
  <si>
    <t>Hato Chamí</t>
  </si>
  <si>
    <t>Alto De Jesús</t>
  </si>
  <si>
    <t>Cerro Banco</t>
  </si>
  <si>
    <t>Guariviara</t>
  </si>
  <si>
    <t>Kusapín (Cabecera)</t>
  </si>
  <si>
    <t>Cerro Caña</t>
  </si>
  <si>
    <t>Hato Culantro</t>
  </si>
  <si>
    <t>Jädaberi</t>
  </si>
  <si>
    <t>Buenos Aires (Cabecera)</t>
  </si>
  <si>
    <t>Cerro De Patena</t>
  </si>
  <si>
    <t>Guoroní</t>
  </si>
  <si>
    <t>Loma Yuca</t>
  </si>
  <si>
    <t>Cerro Puerco</t>
  </si>
  <si>
    <t>Hato Jobo</t>
  </si>
  <si>
    <t>Lajero</t>
  </si>
  <si>
    <t>Cerro Pelado</t>
  </si>
  <si>
    <t>Emplanada De Chorcha</t>
  </si>
  <si>
    <t>Río Chiriquí</t>
  </si>
  <si>
    <t>Chichica (Cabecera)</t>
  </si>
  <si>
    <t>Hato Julí</t>
  </si>
  <si>
    <t>Susama</t>
  </si>
  <si>
    <t>El Bale</t>
  </si>
  <si>
    <t>Namnoní</t>
  </si>
  <si>
    <t>Man Creek</t>
  </si>
  <si>
    <t>Tobobé</t>
  </si>
  <si>
    <t>Krua</t>
  </si>
  <si>
    <t>Hato Pilón (Cabecera)</t>
  </si>
  <si>
    <t>El Paredon</t>
  </si>
  <si>
    <t>Niba</t>
  </si>
  <si>
    <t>Mununí</t>
  </si>
  <si>
    <t>Valle Bonito</t>
  </si>
  <si>
    <t>Maraca</t>
  </si>
  <si>
    <t>Quebrada De Loro</t>
  </si>
  <si>
    <t>El Piro</t>
  </si>
  <si>
    <t>Soloy (Cabecera)</t>
  </si>
  <si>
    <t>Piedra Roja</t>
  </si>
  <si>
    <t>Nibra</t>
  </si>
  <si>
    <t>Salto Dupi</t>
  </si>
  <si>
    <t>Tuwai</t>
  </si>
  <si>
    <t>Guibale</t>
  </si>
  <si>
    <t>Roka</t>
  </si>
  <si>
    <t>Sitio Prado</t>
  </si>
  <si>
    <t>Umani</t>
  </si>
  <si>
    <t>Abogado</t>
  </si>
  <si>
    <t>Alcalde</t>
  </si>
  <si>
    <t>Actor</t>
  </si>
  <si>
    <t>Administrador</t>
  </si>
  <si>
    <t>Aduanero</t>
  </si>
  <si>
    <t>Agente Comercial</t>
  </si>
  <si>
    <t>Agente De Bienes Raíces</t>
  </si>
  <si>
    <t>Agente De Seguros</t>
  </si>
  <si>
    <t>Agente Policial</t>
  </si>
  <si>
    <t>Agente Viajero</t>
  </si>
  <si>
    <t>Agricultor</t>
  </si>
  <si>
    <t>Agrónomo</t>
  </si>
  <si>
    <t>Almacenista</t>
  </si>
  <si>
    <t>Ama De Casa</t>
  </si>
  <si>
    <t>Analista</t>
  </si>
  <si>
    <t>Antropólogo</t>
  </si>
  <si>
    <t>Arquitecto</t>
  </si>
  <si>
    <t>Secretario General</t>
  </si>
  <si>
    <t>Artesano</t>
  </si>
  <si>
    <t>Asistente Técnico</t>
  </si>
  <si>
    <t>Auditor</t>
  </si>
  <si>
    <t>Avicultor</t>
  </si>
  <si>
    <t>Bacteriólogo</t>
  </si>
  <si>
    <t>Banquero</t>
  </si>
  <si>
    <t>Barman</t>
  </si>
  <si>
    <t>Bibliotecario</t>
  </si>
  <si>
    <t>Biólogo</t>
  </si>
  <si>
    <t>Bomberos</t>
  </si>
  <si>
    <t>Cajero</t>
  </si>
  <si>
    <t>Carnicero</t>
  </si>
  <si>
    <t>Carpintero</t>
  </si>
  <si>
    <t>Ceramista</t>
  </si>
  <si>
    <t>Cerrajero</t>
  </si>
  <si>
    <t>Ciclista</t>
  </si>
  <si>
    <t>Cobrador</t>
  </si>
  <si>
    <t>Cocinero</t>
  </si>
  <si>
    <t>Comerciante</t>
  </si>
  <si>
    <t>Conductor</t>
  </si>
  <si>
    <t>Conserje</t>
  </si>
  <si>
    <t>Constructor</t>
  </si>
  <si>
    <t>Cónsul</t>
  </si>
  <si>
    <t>Contador</t>
  </si>
  <si>
    <t>Contralor</t>
  </si>
  <si>
    <t>Contratista</t>
  </si>
  <si>
    <t>Corredor De Seguros</t>
  </si>
  <si>
    <t>Cosmetólogo</t>
  </si>
  <si>
    <t>Decorador</t>
  </si>
  <si>
    <t>Dibujante</t>
  </si>
  <si>
    <t>Diputado</t>
  </si>
  <si>
    <t>Director</t>
  </si>
  <si>
    <t>Director Gubernamental</t>
  </si>
  <si>
    <t>Diseñador</t>
  </si>
  <si>
    <t>Docente / Profesor / Maestro</t>
  </si>
  <si>
    <t>Economista</t>
  </si>
  <si>
    <t>Electricista</t>
  </si>
  <si>
    <t>Electrónico</t>
  </si>
  <si>
    <t>Embajador</t>
  </si>
  <si>
    <t>Empleado</t>
  </si>
  <si>
    <t>Empresario</t>
  </si>
  <si>
    <t>Escolta</t>
  </si>
  <si>
    <t>Escritor</t>
  </si>
  <si>
    <t>Escultor</t>
  </si>
  <si>
    <t>Estilista</t>
  </si>
  <si>
    <t>Estudiante</t>
  </si>
  <si>
    <t>Fabricante</t>
  </si>
  <si>
    <t>Farmaceuta</t>
  </si>
  <si>
    <t>Ferretero</t>
  </si>
  <si>
    <t>Financiero</t>
  </si>
  <si>
    <t>Fiscal</t>
  </si>
  <si>
    <t>Florista</t>
  </si>
  <si>
    <t>Fotógrafo</t>
  </si>
  <si>
    <t>Fumigadores</t>
  </si>
  <si>
    <t>Ganadero</t>
  </si>
  <si>
    <t>Geógrafo</t>
  </si>
  <si>
    <t>Geólogo</t>
  </si>
  <si>
    <t>Gerente /Sub Gerente</t>
  </si>
  <si>
    <t>Gobernador</t>
  </si>
  <si>
    <t>Historiador</t>
  </si>
  <si>
    <t>Informático / Computista</t>
  </si>
  <si>
    <t>Ingeniero</t>
  </si>
  <si>
    <t>Internacionalista</t>
  </si>
  <si>
    <t>Investigador</t>
  </si>
  <si>
    <t>Jardinero</t>
  </si>
  <si>
    <t>Jinete Profesional De Caballos</t>
  </si>
  <si>
    <t>Joyero</t>
  </si>
  <si>
    <t>Jubilado</t>
  </si>
  <si>
    <t>Juez</t>
  </si>
  <si>
    <t>Laboratorista</t>
  </si>
  <si>
    <t>Licenciado</t>
  </si>
  <si>
    <t>Limpiador</t>
  </si>
  <si>
    <t>Locutor</t>
  </si>
  <si>
    <t>Magistrado</t>
  </si>
  <si>
    <t>Marino Mercante</t>
  </si>
  <si>
    <t>Masajista</t>
  </si>
  <si>
    <t>Matemático</t>
  </si>
  <si>
    <t>Mecánico</t>
  </si>
  <si>
    <t>Medico</t>
  </si>
  <si>
    <t>Medicina Alternativa</t>
  </si>
  <si>
    <t xml:space="preserve">Mensajero </t>
  </si>
  <si>
    <t>Mesonero</t>
  </si>
  <si>
    <t>Metalmecánica / Metalúrgica</t>
  </si>
  <si>
    <t>Meteorólogo</t>
  </si>
  <si>
    <t>Militar</t>
  </si>
  <si>
    <t>Minero</t>
  </si>
  <si>
    <t>Ministro</t>
  </si>
  <si>
    <t>Modelo</t>
  </si>
  <si>
    <t>Modisto</t>
  </si>
  <si>
    <t>Musico</t>
  </si>
  <si>
    <t>Negociante</t>
  </si>
  <si>
    <t>Notario</t>
  </si>
  <si>
    <t>Nutricionista</t>
  </si>
  <si>
    <t>Obrero</t>
  </si>
  <si>
    <t>Odontólogo</t>
  </si>
  <si>
    <t>Oficinista</t>
  </si>
  <si>
    <t>Panadero</t>
  </si>
  <si>
    <t>Paramédico</t>
  </si>
  <si>
    <t>Parapsicólogo</t>
  </si>
  <si>
    <t>Pescador</t>
  </si>
  <si>
    <t>Pintor</t>
  </si>
  <si>
    <t>Plomero</t>
  </si>
  <si>
    <t>Politólogo</t>
  </si>
  <si>
    <t>Porcicultor</t>
  </si>
  <si>
    <t>Presidente</t>
  </si>
  <si>
    <t>Procurador</t>
  </si>
  <si>
    <t>Profesional Del Buceo</t>
  </si>
  <si>
    <t>Psicólogo</t>
  </si>
  <si>
    <t>Psicopedagoga</t>
  </si>
  <si>
    <t>Químico</t>
  </si>
  <si>
    <t>Recepcionista</t>
  </si>
  <si>
    <t>Rector</t>
  </si>
  <si>
    <t>Relacionista Industrial</t>
  </si>
  <si>
    <t>Relacionista Publico</t>
  </si>
  <si>
    <t>Religioso</t>
  </si>
  <si>
    <t>Secretaria</t>
  </si>
  <si>
    <t>Sepulturero</t>
  </si>
  <si>
    <t>Sociólogo</t>
  </si>
  <si>
    <t>Soldador</t>
  </si>
  <si>
    <t>Subastador</t>
  </si>
  <si>
    <t>Supervisor</t>
  </si>
  <si>
    <t>Talador</t>
  </si>
  <si>
    <t>Tapicero</t>
  </si>
  <si>
    <t>Taquígrafo</t>
  </si>
  <si>
    <t>Técnico</t>
  </si>
  <si>
    <t>Terapeuta</t>
  </si>
  <si>
    <t>Tesorero</t>
  </si>
  <si>
    <t>Topógrafo</t>
  </si>
  <si>
    <t>Trabajador Social</t>
  </si>
  <si>
    <t>Traductor</t>
  </si>
  <si>
    <t>Transportista, Carga Y Descarga</t>
  </si>
  <si>
    <t>Turismo / Hotelería</t>
  </si>
  <si>
    <t>Vendedor</t>
  </si>
  <si>
    <t>Viceministro</t>
  </si>
  <si>
    <t>Vigilante</t>
  </si>
  <si>
    <t>Visitador Medico</t>
  </si>
  <si>
    <t>Zapatero</t>
  </si>
  <si>
    <t>Zootécnico</t>
  </si>
  <si>
    <t>Otros</t>
  </si>
  <si>
    <t>Ocupacion</t>
  </si>
  <si>
    <t>Deportista</t>
  </si>
  <si>
    <t>Inspector</t>
  </si>
  <si>
    <t>Comisario</t>
  </si>
  <si>
    <t>Detective</t>
  </si>
  <si>
    <t>Celular</t>
  </si>
  <si>
    <t>dircobro</t>
  </si>
  <si>
    <t>Si</t>
  </si>
  <si>
    <t>No</t>
  </si>
  <si>
    <t>Tipodeidnat</t>
  </si>
  <si>
    <t>Pasaporte</t>
  </si>
  <si>
    <t>tipodedir</t>
  </si>
  <si>
    <t>Residencial</t>
  </si>
  <si>
    <t>Laboral</t>
  </si>
  <si>
    <t>dia</t>
  </si>
  <si>
    <t>mes</t>
  </si>
  <si>
    <t>ene</t>
  </si>
  <si>
    <t>feb</t>
  </si>
  <si>
    <t>mar</t>
  </si>
  <si>
    <t>abr</t>
  </si>
  <si>
    <t>may</t>
  </si>
  <si>
    <t>jun</t>
  </si>
  <si>
    <t>jul</t>
  </si>
  <si>
    <t>ago</t>
  </si>
  <si>
    <t>sep</t>
  </si>
  <si>
    <t>oct</t>
  </si>
  <si>
    <t>nov</t>
  </si>
  <si>
    <t>dic</t>
  </si>
  <si>
    <t>Nacionalidad</t>
  </si>
  <si>
    <t>Tipo</t>
  </si>
  <si>
    <t>tipodir</t>
  </si>
  <si>
    <t>Dignatario</t>
  </si>
  <si>
    <t>PEP</t>
  </si>
  <si>
    <t>ingresos</t>
  </si>
  <si>
    <t xml:space="preserve">Ingresos anuales por otras actividades </t>
  </si>
  <si>
    <t>Medidas</t>
  </si>
  <si>
    <t>Sistema de Alarmas</t>
  </si>
  <si>
    <t>Guardia de Seguridad</t>
  </si>
  <si>
    <t>Verjas</t>
  </si>
  <si>
    <t>B/.100,000.00   -   Prima Anual B/. 840.00</t>
  </si>
  <si>
    <t>B/.50,000.00     -   Prima Anual B/. 420.00</t>
  </si>
  <si>
    <t>B/.35,000.00     -   Prima Anual B/. 294.00</t>
  </si>
  <si>
    <t>B/.25,000.00     -   Prima Anual B/. 210.00</t>
  </si>
  <si>
    <t>B/.15,000.00     -   Prima Anual B/. 126.00</t>
  </si>
  <si>
    <t>B/.10,000.00     -   Prima Anual B/. 84.00</t>
  </si>
  <si>
    <t>suma</t>
  </si>
  <si>
    <t>De B/. 25,001 a B/. 50,000</t>
  </si>
  <si>
    <t>De B/. 50,001 a B/. 100,000</t>
  </si>
  <si>
    <t>De B/. 100,001 a B/. 150,000</t>
  </si>
  <si>
    <t>De B/. 1,000,001 a B/. 2,500,000</t>
  </si>
  <si>
    <t>&gt; B/. 2,500,000</t>
  </si>
  <si>
    <t>&lt; B/. 25,000</t>
  </si>
  <si>
    <t>tipodeseg</t>
  </si>
  <si>
    <t>Forma de Pago</t>
  </si>
  <si>
    <t>formadepago</t>
  </si>
  <si>
    <t>Corredor</t>
  </si>
  <si>
    <t>Frecuencia</t>
  </si>
  <si>
    <t>Cantidad de Pagos</t>
  </si>
  <si>
    <t>Banco</t>
  </si>
  <si>
    <t>id</t>
  </si>
  <si>
    <t xml:space="preserve">Visa </t>
  </si>
  <si>
    <t>Mastercard</t>
  </si>
  <si>
    <t>Fecha</t>
  </si>
  <si>
    <t>informacion crediticia</t>
  </si>
  <si>
    <t>ley</t>
  </si>
  <si>
    <t>ley 24</t>
  </si>
  <si>
    <t>autorizacion datos</t>
  </si>
  <si>
    <t>texto</t>
  </si>
  <si>
    <t>reservar derechos</t>
  </si>
  <si>
    <t>informacion valida</t>
  </si>
  <si>
    <t>Canal</t>
  </si>
  <si>
    <t>Directo</t>
  </si>
  <si>
    <t>Bancaseguros</t>
  </si>
  <si>
    <t>Firma del Asegurado</t>
  </si>
  <si>
    <t>Accidentes_Personales</t>
  </si>
  <si>
    <t>Colectivo_de_Vida</t>
  </si>
  <si>
    <t>Accidentes Personales - Opcion 2</t>
  </si>
  <si>
    <t>Accidentes Personales - Opcion 1</t>
  </si>
  <si>
    <t>Accidentes Personales - Opcion 3</t>
  </si>
  <si>
    <t>Colectivo de Vida - Opcion 1</t>
  </si>
  <si>
    <t>Colectivo de Vida - Opcion 2</t>
  </si>
  <si>
    <t>Colectivo de Vida - Opcion 3</t>
  </si>
  <si>
    <t>frecuencia</t>
  </si>
  <si>
    <t>Anual</t>
  </si>
  <si>
    <t>Mensual</t>
  </si>
  <si>
    <t>Trimestral</t>
  </si>
  <si>
    <t>Semestral</t>
  </si>
  <si>
    <t>cantpagos</t>
  </si>
  <si>
    <t>Allbank Corp.</t>
  </si>
  <si>
    <t>Andbank (Panamá), S.A.</t>
  </si>
  <si>
    <t>Atlantic Security Bank</t>
  </si>
  <si>
    <t>Atlas Bank (Panamá), S.A.</t>
  </si>
  <si>
    <t>Austrobank Overseas (Panamá), S.A.</t>
  </si>
  <si>
    <t>BAC Bank, Inc.</t>
  </si>
  <si>
    <t>BAC International Bank, Inc.</t>
  </si>
  <si>
    <t>Banca Privada D´Andorra (Panamá), S.A.</t>
  </si>
  <si>
    <t>Banco Aliado S.A.</t>
  </si>
  <si>
    <t>Banco Azteca (Panamá), S.A.</t>
  </si>
  <si>
    <t>Banco Credit Andorra (Panamá) S.A.</t>
  </si>
  <si>
    <t>Banco Davivienda (Panamá) S.A.</t>
  </si>
  <si>
    <t>Banco Davivienda Internacional (Panamá), S.A.</t>
  </si>
  <si>
    <t>Banco de Bogotá (Panamá), S.A.</t>
  </si>
  <si>
    <t>Banco de Bogotá, S.A.</t>
  </si>
  <si>
    <t>Banco de Crédito del Perú</t>
  </si>
  <si>
    <t>Banco de la Nación Argentina</t>
  </si>
  <si>
    <t>Banco de Occidente (Panamá), S.A.</t>
  </si>
  <si>
    <t>Banco Delta, S.A.</t>
  </si>
  <si>
    <t>Banco Ficohsa (Panamá), S.A.</t>
  </si>
  <si>
    <t>Banco G&amp;T Continental (Panamá) S.A.</t>
  </si>
  <si>
    <t>Banco General, S.A.</t>
  </si>
  <si>
    <t>Banco Internacional de Costa Rica, S.A. (BICSA)</t>
  </si>
  <si>
    <t>Banco Internacional de Perú, S.A.A.</t>
  </si>
  <si>
    <t>Banco La Hipotecaria, S.A</t>
  </si>
  <si>
    <t>Banco Latinoamericano de Comercio Exterior, S.A. (BLADEX)</t>
  </si>
  <si>
    <t>Banco Nacional de Panamá</t>
  </si>
  <si>
    <t>Banco Panamá, S.A.</t>
  </si>
  <si>
    <t>Banco Panameño de la Vivienda, S.A. (BANVIVIENDA)</t>
  </si>
  <si>
    <t>Banco Pichincha Panamá, S.A.</t>
  </si>
  <si>
    <t>Banco Prival, S.A. o Prival Bank, S.A.</t>
  </si>
  <si>
    <t>Banco Santander (Panamá) S.A.</t>
  </si>
  <si>
    <t>Bancolombia (Panamá), S.A.</t>
  </si>
  <si>
    <t>Bancolombia S.A.</t>
  </si>
  <si>
    <t>Banesco (Panamá)</t>
  </si>
  <si>
    <t>BANISI, S.A.</t>
  </si>
  <si>
    <t>Banistmo S.A.</t>
  </si>
  <si>
    <t>Bank of China Limited</t>
  </si>
  <si>
    <t>BBP Bank S.A.</t>
  </si>
  <si>
    <t>BCT Bank International S.A.</t>
  </si>
  <si>
    <t>BHD International Bank (Panamá) S.A</t>
  </si>
  <si>
    <t>BI-BANK, S.A.</t>
  </si>
  <si>
    <t>BNP Paribas Sucursal Panamá</t>
  </si>
  <si>
    <t>BPR BANK, S.A.</t>
  </si>
  <si>
    <t>Caja de Ahorros</t>
  </si>
  <si>
    <t>Canal Bank S.A.</t>
  </si>
  <si>
    <t>Capital Bank Inc.</t>
  </si>
  <si>
    <t>Citibank, N.A. Sucursal Panamá</t>
  </si>
  <si>
    <t>Credicorp S.A.</t>
  </si>
  <si>
    <t>ES Bank (Panamá), S.A.</t>
  </si>
  <si>
    <t>FPB Bank Inc.</t>
  </si>
  <si>
    <t>Global Bank Corporation</t>
  </si>
  <si>
    <t>GNB Sudameris Bank S.A.</t>
  </si>
  <si>
    <t>GTC Bank Inc.</t>
  </si>
  <si>
    <t>Inteligo Bank, Ltd.</t>
  </si>
  <si>
    <t xml:space="preserve">International Union Bank S.A. </t>
  </si>
  <si>
    <t>ITAU (Panamá) S.A.</t>
  </si>
  <si>
    <t>KEB HANA BANK</t>
  </si>
  <si>
    <t>Mega International Commercial Bank Co. Ltd.</t>
  </si>
  <si>
    <t>Mercantil Banco, S.A.</t>
  </si>
  <si>
    <t>Metrobank, S.A.</t>
  </si>
  <si>
    <t>MMG Bank Corporation</t>
  </si>
  <si>
    <t>Multibank Inc.</t>
  </si>
  <si>
    <t>Pacific Bank, S.A.</t>
  </si>
  <si>
    <t>PKB Banca Privada (Panamá) S.A.</t>
  </si>
  <si>
    <t>Popular Bank Ltd.Inc.</t>
  </si>
  <si>
    <t>SCOTIABANK (PANAMA) S.A.</t>
  </si>
  <si>
    <t>St. Georges Bank &amp; Company, Inc.</t>
  </si>
  <si>
    <t xml:space="preserve">TAG Bank S.A. </t>
  </si>
  <si>
    <t>The Bank of Nova Scotia (Panamá), S.A.</t>
  </si>
  <si>
    <t>The Bank of Nova Scotia (SCOTIABANK)</t>
  </si>
  <si>
    <t>Towerbank International Inc.</t>
  </si>
  <si>
    <t>Unibank, S.A.</t>
  </si>
  <si>
    <t>autorizacion tarjeta de credito</t>
  </si>
  <si>
    <t>Tipopersona</t>
  </si>
  <si>
    <t>Natural</t>
  </si>
  <si>
    <t>juridica</t>
  </si>
  <si>
    <t>Jurídica</t>
  </si>
  <si>
    <t>AP</t>
  </si>
  <si>
    <t>autocobertura</t>
  </si>
  <si>
    <t>Cobertura_Completa</t>
  </si>
  <si>
    <t>Daños_a_Terceros</t>
  </si>
  <si>
    <t>Acreedor</t>
  </si>
  <si>
    <t>usoauto</t>
  </si>
  <si>
    <t>Comercial</t>
  </si>
  <si>
    <t>tipoflota</t>
  </si>
  <si>
    <t>Si_</t>
  </si>
  <si>
    <t>No_</t>
  </si>
  <si>
    <t>BMW</t>
  </si>
  <si>
    <t>beneficiarios auto particular</t>
  </si>
  <si>
    <t>Particular</t>
  </si>
  <si>
    <t>Sección I: Datos Generales del Cliente</t>
  </si>
  <si>
    <t>Identificación</t>
  </si>
  <si>
    <t>Correo Electrónico</t>
  </si>
  <si>
    <t>Opción 1</t>
  </si>
  <si>
    <t>Opción 2</t>
  </si>
  <si>
    <t>Direccion Residencial</t>
  </si>
  <si>
    <t>Genero</t>
  </si>
  <si>
    <t>Femenino</t>
  </si>
  <si>
    <t>Masculino</t>
  </si>
  <si>
    <t>Estado Civil</t>
  </si>
  <si>
    <t>estadocivil</t>
  </si>
  <si>
    <t>Union libre</t>
  </si>
  <si>
    <t>Casado (a)</t>
  </si>
  <si>
    <t>Separado (a) o divorciado (a)</t>
  </si>
  <si>
    <t>Viudo (a)</t>
  </si>
  <si>
    <t>Soltero (a)</t>
  </si>
  <si>
    <t>Fecha de Nacimiento</t>
  </si>
  <si>
    <t>SEGUROS SURAMERICANA S.A.</t>
  </si>
  <si>
    <t>Pais de Nacimiento</t>
  </si>
  <si>
    <r>
      <rPr>
        <sz val="20"/>
        <rFont val="Calibri"/>
        <family val="2"/>
        <scheme val="minor"/>
      </rPr>
      <t xml:space="preserve"> </t>
    </r>
    <r>
      <rPr>
        <sz val="11"/>
        <rFont val="Calibri"/>
        <family val="2"/>
        <scheme val="minor"/>
      </rPr>
      <t xml:space="preserve"> &gt; 10 a 50 </t>
    </r>
  </si>
  <si>
    <r>
      <rPr>
        <sz val="20"/>
        <rFont val="Calibri"/>
        <family val="2"/>
        <scheme val="minor"/>
      </rPr>
      <t xml:space="preserve"> </t>
    </r>
    <r>
      <rPr>
        <sz val="11"/>
        <rFont val="Calibri"/>
        <family val="2"/>
        <scheme val="minor"/>
      </rPr>
      <t xml:space="preserve">&gt; 50 a 300 </t>
    </r>
  </si>
  <si>
    <r>
      <rPr>
        <sz val="20"/>
        <rFont val="Calibri"/>
        <family val="2"/>
        <scheme val="minor"/>
      </rPr>
      <t xml:space="preserve"> </t>
    </r>
    <r>
      <rPr>
        <sz val="11"/>
        <rFont val="Calibri"/>
        <family val="2"/>
        <scheme val="minor"/>
      </rPr>
      <t xml:space="preserve"> &gt; 300</t>
    </r>
  </si>
  <si>
    <t>Telefono</t>
  </si>
  <si>
    <t>Nro de hijos</t>
  </si>
  <si>
    <t>Nro.dehijos</t>
  </si>
  <si>
    <r>
      <rPr>
        <sz val="20"/>
        <rFont val="Calibri"/>
        <family val="2"/>
        <scheme val="minor"/>
      </rPr>
      <t xml:space="preserve">  </t>
    </r>
    <r>
      <rPr>
        <sz val="11"/>
        <rFont val="Calibri"/>
        <family val="2"/>
      </rPr>
      <t>≥ 10</t>
    </r>
  </si>
  <si>
    <r>
      <rPr>
        <sz val="20"/>
        <rFont val="Calibri"/>
        <family val="2"/>
        <scheme val="minor"/>
      </rPr>
      <t xml:space="preserve">  </t>
    </r>
    <r>
      <rPr>
        <sz val="11"/>
        <rFont val="Calibri"/>
        <family val="2"/>
        <scheme val="minor"/>
      </rPr>
      <t xml:space="preserve">1 - 3 </t>
    </r>
  </si>
  <si>
    <r>
      <rPr>
        <sz val="20"/>
        <rFont val="Calibri"/>
        <family val="2"/>
        <scheme val="minor"/>
      </rPr>
      <t xml:space="preserve">  </t>
    </r>
    <r>
      <rPr>
        <sz val="11"/>
        <rFont val="Calibri"/>
        <family val="2"/>
        <scheme val="minor"/>
      </rPr>
      <t xml:space="preserve">4 - 6 </t>
    </r>
  </si>
  <si>
    <r>
      <rPr>
        <sz val="20"/>
        <rFont val="Calibri"/>
        <family val="2"/>
        <scheme val="minor"/>
      </rPr>
      <t xml:space="preserve">  </t>
    </r>
    <r>
      <rPr>
        <sz val="11"/>
        <rFont val="Calibri"/>
        <family val="2"/>
        <scheme val="minor"/>
      </rPr>
      <t xml:space="preserve">7- 9 </t>
    </r>
  </si>
  <si>
    <t>Correo Electronico</t>
  </si>
  <si>
    <t>Actividad Economica</t>
  </si>
  <si>
    <t>dirlaboral</t>
  </si>
  <si>
    <t>Economica</t>
  </si>
  <si>
    <t>Campo</t>
  </si>
  <si>
    <t>titulo</t>
  </si>
  <si>
    <t>mensaje</t>
  </si>
  <si>
    <t>Alto</t>
  </si>
  <si>
    <t>Inicio de vigencia</t>
  </si>
  <si>
    <t>Año Incorrecto</t>
  </si>
  <si>
    <t xml:space="preserve">Fin de vigencia </t>
  </si>
  <si>
    <t>Información</t>
  </si>
  <si>
    <t xml:space="preserve">¿Es usted una persona políticamente expuesta? </t>
  </si>
  <si>
    <t>Son aquellas personas que desempeñan o han desempeñado funciones publicas destacadas en un país extranjero o en su propio país.</t>
  </si>
  <si>
    <t>Fecha de Inicio</t>
  </si>
  <si>
    <t>Respuesta Errada</t>
  </si>
  <si>
    <t>Debe seleccionar del menú desplegable.</t>
  </si>
  <si>
    <t>Debe tener 4 caracteres numéricos.</t>
  </si>
  <si>
    <t>PEP Actual</t>
  </si>
  <si>
    <t>Fecha Final</t>
  </si>
  <si>
    <t>formato</t>
  </si>
  <si>
    <t>DD/mes/AAAA</t>
  </si>
  <si>
    <t>¿Es usted familiar cercano o colaborador estrecho de un PEP?</t>
  </si>
  <si>
    <t>Teléfono errado</t>
  </si>
  <si>
    <t>Solo se permiten 7 caracteres numéricos.</t>
  </si>
  <si>
    <t>País de Ubicación</t>
  </si>
  <si>
    <t>Provincia</t>
  </si>
  <si>
    <t>Distrito</t>
  </si>
  <si>
    <t>Corregimiento</t>
  </si>
  <si>
    <t>Valor Invalido</t>
  </si>
  <si>
    <t>Ingresos de la empresa</t>
  </si>
  <si>
    <t>Ingresos anuales por actividad principal</t>
  </si>
  <si>
    <t>Datos del riesgo</t>
  </si>
  <si>
    <t>Inicio de Vigencia</t>
  </si>
  <si>
    <t>Fin de Vigencia</t>
  </si>
  <si>
    <t>Tipo de Tarjeta</t>
  </si>
  <si>
    <t>Fecha de exp.</t>
  </si>
  <si>
    <t>Debe ser un año vigente o futuro. Solo se permite un máximo de 4 caracteres numéricos.</t>
  </si>
  <si>
    <t>canal</t>
  </si>
  <si>
    <t>Correo invalido</t>
  </si>
  <si>
    <t>Sección</t>
  </si>
  <si>
    <t>Información de pago</t>
  </si>
  <si>
    <t>Tipo de identificación</t>
  </si>
  <si>
    <t>Pólizas de vida</t>
  </si>
  <si>
    <t>Asegúrese que el formato del correo electrónico sea el correcto. Debe contener @ y mínimo  "."</t>
  </si>
  <si>
    <t>Pagador</t>
  </si>
  <si>
    <t>tipo de persona</t>
  </si>
  <si>
    <t>tipo de ID</t>
  </si>
  <si>
    <t>fin de vigencia</t>
  </si>
  <si>
    <t>Tipo de Cobertura</t>
  </si>
  <si>
    <t>uso</t>
  </si>
  <si>
    <t>flota</t>
  </si>
  <si>
    <t>marca</t>
  </si>
  <si>
    <t>Año</t>
  </si>
  <si>
    <t>Seleccionar plan</t>
  </si>
  <si>
    <t>Beneficiarios</t>
  </si>
  <si>
    <t>%</t>
  </si>
  <si>
    <t>Solo se permiten valores numéricos de 1 a 100.</t>
  </si>
  <si>
    <t>Si es cobertura completa, se permiten hasta 12 pagos. Si es daños a terceros, solo se permite un pago.</t>
  </si>
  <si>
    <t>Completar como mínimo las casillas que indican ser obligatorias ya que las mismas son fundamentales para la emisión de la póliza en nuestro sistema. Los campos que son obligatorios tienen el signo " * " en rojo.</t>
  </si>
  <si>
    <t>numero de tarjeta</t>
  </si>
  <si>
    <t>Numero invalido</t>
  </si>
  <si>
    <t>Asegúrese de colocar únicamente valores numéricos</t>
  </si>
  <si>
    <t xml:space="preserve">Teléfono </t>
  </si>
  <si>
    <t>Solo se permiten 8 caracteres numéricos.</t>
  </si>
  <si>
    <t>Celular errado</t>
  </si>
  <si>
    <t>Profesion</t>
  </si>
  <si>
    <t xml:space="preserve">Si la respuesta es "Si", debe completar esta sección. </t>
  </si>
  <si>
    <t>Si la respuesta es "Si", debe completar esta sección.</t>
  </si>
  <si>
    <t>Asegúrese que el año de inicio de vigencia sea un año vigente. Solo se permiten 4 dígitos.</t>
  </si>
  <si>
    <t>Asegúrese de que el año de fin de vigencia sea un año vigente o futuro. Solo se permiten 4 dígitos.</t>
  </si>
  <si>
    <t>Numero de placa</t>
  </si>
  <si>
    <t>Numero de chasis</t>
  </si>
  <si>
    <t>Debe contener 6 dígitos</t>
  </si>
  <si>
    <t>Debe contener 17 dígitos</t>
  </si>
  <si>
    <t>ap</t>
  </si>
  <si>
    <t>Incluye:
•	Cobertura de Muerte Accidental
•	Adelanto por Desmembramiento por accidente 
•	Adelanto por incapacidad Total y Permanente
•	Homicidio Culposo
•	Adelanto de Gastos Funerarios hasta B/. 3,000.00</t>
  </si>
  <si>
    <t>Solo se permiten 4 caracteres numéricos.</t>
  </si>
  <si>
    <t>ingresosnat</t>
  </si>
  <si>
    <t>DV</t>
  </si>
  <si>
    <t>Solo se permiten 2 caracteres.</t>
  </si>
  <si>
    <t>Ext.</t>
  </si>
  <si>
    <t>Direccion de Cobro, Avisos y Notificaciones</t>
  </si>
  <si>
    <t>Diremail</t>
  </si>
  <si>
    <t>Otro Correo Electrónico</t>
  </si>
  <si>
    <t>ext</t>
  </si>
  <si>
    <t>Solo se permiten valores numéricos.</t>
  </si>
  <si>
    <t>pan</t>
  </si>
  <si>
    <t>nopan</t>
  </si>
  <si>
    <t>Si es Cedula: Elegir sigla, si tiene.</t>
  </si>
  <si>
    <t>Si es Cedula: Elegir la provincia</t>
  </si>
  <si>
    <t>De B/. 150,001 a B/. 500,000</t>
  </si>
  <si>
    <t>De B/. 501,001 a B/. 1,000,000</t>
  </si>
  <si>
    <t>ACURA</t>
  </si>
  <si>
    <t>AUDI</t>
  </si>
  <si>
    <t>CADILLAC</t>
  </si>
  <si>
    <t>CHEVROLET</t>
  </si>
  <si>
    <t>DAIHATSU</t>
  </si>
  <si>
    <t>FORD</t>
  </si>
  <si>
    <t>HONDA</t>
  </si>
  <si>
    <t>HUMMER</t>
  </si>
  <si>
    <t>HYUNDAI</t>
  </si>
  <si>
    <t>INFINITI</t>
  </si>
  <si>
    <t>ISUZU</t>
  </si>
  <si>
    <t>JAGUAR</t>
  </si>
  <si>
    <t>JEEP</t>
  </si>
  <si>
    <t>KIA</t>
  </si>
  <si>
    <t>LAND_ROVER</t>
  </si>
  <si>
    <t>LEXUS</t>
  </si>
  <si>
    <t>LINCOLN</t>
  </si>
  <si>
    <t>MASERATI</t>
  </si>
  <si>
    <t>MAZDA</t>
  </si>
  <si>
    <t>MERCEDES_BENZ</t>
  </si>
  <si>
    <t>MINI</t>
  </si>
  <si>
    <t>MITSUBISHI</t>
  </si>
  <si>
    <t>NISSAN</t>
  </si>
  <si>
    <t>PEUGEOT</t>
  </si>
  <si>
    <t>PORSCHE</t>
  </si>
  <si>
    <t>RENAULT</t>
  </si>
  <si>
    <t>SUBARU</t>
  </si>
  <si>
    <t>SUZUKI</t>
  </si>
  <si>
    <t>TOYOTA</t>
  </si>
  <si>
    <t>VOLKSWAGEN</t>
  </si>
  <si>
    <t>VOLVO</t>
  </si>
  <si>
    <t>Descuento_Automático_Tarjeta_de_Credito</t>
  </si>
  <si>
    <t>Descuento_Automático_Tarjeta_de_Credito_Debito</t>
  </si>
  <si>
    <t>Pago_voluntario</t>
  </si>
  <si>
    <t>Autorizo a SEGUROS SURAMERICANA, S.A., su matriz, filiales y subsidiarias al tratamiento de datos personales y así mismo establecer contacto a través de cualquier medio de comunicación referente a información de cualquier índole, que se considere necesaria y/o apropiada para la prestación de los servicios.</t>
  </si>
  <si>
    <t>En todos los casos SEGUROS SURAMERICANA, S.A. se reserva el derecho de aceptar, recargar o declinar una solicitud de seguro.</t>
  </si>
  <si>
    <t>Certifico que las respuestas proporcionadas en este documento son exactas y veraces y cualquier declaración falsa o inexacta, hecha en esta solicitud facultara a SEGUROS SURAMERICANA, S.A. a invalidar esta cobertura de seguros.</t>
  </si>
  <si>
    <t>BLANQUEO DE CAPITALES</t>
  </si>
  <si>
    <t>"La compañía aseguradora se reserva el derecho de proceder a tomar decisiones relacionadas a sus Políticas de Prevención y Control de Lavado de Activos y las normas vigentes y podrá dar por terminado el presente contrato de manera inmediata".</t>
  </si>
  <si>
    <t>Antártida</t>
  </si>
  <si>
    <t>Etiopía</t>
  </si>
  <si>
    <t>Malí</t>
  </si>
  <si>
    <t>Santo Tomé y Príncipe</t>
  </si>
  <si>
    <t>Sudán</t>
  </si>
  <si>
    <t>Nombre de la Empresa</t>
  </si>
  <si>
    <t>Dirección de trabajo</t>
  </si>
  <si>
    <t xml:space="preserve">AHORRO Y CREDITO GAMBOA                           </t>
  </si>
  <si>
    <t>ALLBANK CORP.</t>
  </si>
  <si>
    <t xml:space="preserve">ALTOS DE VISTAMARES, S.A.                         </t>
  </si>
  <si>
    <t xml:space="preserve">AMBERGRIS, S.A.                                   </t>
  </si>
  <si>
    <t>ANDBANK (PANAMÁ), S.A.</t>
  </si>
  <si>
    <t xml:space="preserve">ARRENDADORA CENTROAMERICANA, S.A.                 </t>
  </si>
  <si>
    <t xml:space="preserve">ARRENDADORA UNIVERSAL, S.A.                       </t>
  </si>
  <si>
    <t xml:space="preserve">ASOC. DE EMPL.DEL BANCO CONTINENTAL DE PMA        </t>
  </si>
  <si>
    <t>ATLANTIC SECURITY BANK</t>
  </si>
  <si>
    <t>ATLAS BANK (PANAMÁ), S.A.</t>
  </si>
  <si>
    <t>AUSTROBANK OVERSEAS (PANAMÁ), S.A.</t>
  </si>
  <si>
    <t xml:space="preserve">AUTO FACIL, PANAMA S.A.                                  </t>
  </si>
  <si>
    <t xml:space="preserve">AUTO FACIL, S.A.                                  </t>
  </si>
  <si>
    <t xml:space="preserve">AUTO SPORTIVO ITALIANO, S.A.                      </t>
  </si>
  <si>
    <t xml:space="preserve">AUTO TRUST, INC.                                  </t>
  </si>
  <si>
    <t>BAC BANK, INC.</t>
  </si>
  <si>
    <t>BAC INTERNATIONAL BANK, INC.</t>
  </si>
  <si>
    <t>BANCA PRIVADA D´ANDORRA (PANAMÁ), S.A.</t>
  </si>
  <si>
    <t>BANCO ALIADO S.A.</t>
  </si>
  <si>
    <t>BANCO AZTECA (PANAMÁ), S.A.</t>
  </si>
  <si>
    <t>BANCO CREDIT ANDORRA (PANAMÁ) S.A.</t>
  </si>
  <si>
    <t>BANCO DAVIVIENDA (PANAMÁ) S.A.</t>
  </si>
  <si>
    <t>BANCO DAVIVIENDA INTERNACIONAL (PANAMÁ), S.A.</t>
  </si>
  <si>
    <t>BANCO DE BOGOTÁ (PANAMÁ), S.A.</t>
  </si>
  <si>
    <t>BANCO DE BOGOTÁ, S.A.</t>
  </si>
  <si>
    <t>BANCO DE CRÉDITO DEL PERÚ</t>
  </si>
  <si>
    <t xml:space="preserve">BANCO DE DESARROLLO AGROPECUARIO                  </t>
  </si>
  <si>
    <t>BANCO DE LA NACIÓN ARGENTINA</t>
  </si>
  <si>
    <t>BANCO DE OCCIDENTE (PANAMÁ), S.A.</t>
  </si>
  <si>
    <t>BANCO DELTA, S.A.</t>
  </si>
  <si>
    <t>BANCO FICOHSA (PANAMÁ), S.A.</t>
  </si>
  <si>
    <t>BANCO G&amp;T CONTINENTAL (PANAMÁ) S.A.</t>
  </si>
  <si>
    <t>BANCO GENERAL, S.A.</t>
  </si>
  <si>
    <t xml:space="preserve">BANCO HIPOTECARIO NACIONAL                        </t>
  </si>
  <si>
    <t>BANCO INTERNACIONAL DE COSTA RICA, S.A. (BICSA)</t>
  </si>
  <si>
    <t>BANCO INTERNACIONAL DE PERÚ, S.A.A.</t>
  </si>
  <si>
    <t>BANCO LA HIPOTECARIA, S.A</t>
  </si>
  <si>
    <t>BANCO LAFISE PANAMÁ S.A.</t>
  </si>
  <si>
    <t>BANCO LATINOAMERICANO DE COMERCIO EXTERIOR, S.A. (BLADEX)</t>
  </si>
  <si>
    <t>BANCO NACIONAL DE PANAMÁ</t>
  </si>
  <si>
    <t>BANCO PANAMÁ, S.A.</t>
  </si>
  <si>
    <t>BANCO PANAMEÑO DE LA VIVIENDA, S.A. (BANVIVIENDA)</t>
  </si>
  <si>
    <t>BANCO PICHINCHA PANAMÁ, S.A.</t>
  </si>
  <si>
    <t>BANCO PRIVAL, S.A. O PRIVAL BANK, S.A.</t>
  </si>
  <si>
    <t>BANCO SANTANDER (PANAMÁ) S.A.</t>
  </si>
  <si>
    <t>BANCOLOMBIA (PANAMÁ), S.A.</t>
  </si>
  <si>
    <t>BANCOLOMBIA S.A.</t>
  </si>
  <si>
    <t>BANESCO (PANAMÁ)</t>
  </si>
  <si>
    <t>BANISTMO S.A.</t>
  </si>
  <si>
    <t>BANK OF CHINA LIMITED</t>
  </si>
  <si>
    <t>BBP BANK S.A.</t>
  </si>
  <si>
    <t>BCT BANK INTERNATIONAL S.A.</t>
  </si>
  <si>
    <t xml:space="preserve">BG TRUST, INC.                                    </t>
  </si>
  <si>
    <t>BHD INTERNATIONAL BANK (PANAMÁ) S.A</t>
  </si>
  <si>
    <t>BNP PARIBAS SUCURSAL PANAMÁ</t>
  </si>
  <si>
    <t>CAJA DE AHORROS</t>
  </si>
  <si>
    <t xml:space="preserve">CAJA DE SEGURO SOCIAL                             </t>
  </si>
  <si>
    <t>CANAL BANK S.A.</t>
  </si>
  <si>
    <t>CAPITAL BANK INC.</t>
  </si>
  <si>
    <t xml:space="preserve">CAPITAL LEASING &amp; FINANCIAL SOLUTIONS, S.A.       </t>
  </si>
  <si>
    <t xml:space="preserve">CENTRAL EMPRESARIAL SOLIDARIA, S.A.               </t>
  </si>
  <si>
    <t xml:space="preserve">CENTURY MOTORS, S.A.                              </t>
  </si>
  <si>
    <t>CITIBANK, N.A. SUCURSAL PANAMÁ</t>
  </si>
  <si>
    <t xml:space="preserve">COMPAÑIA PANAMEÑA DE SEGURIDAD, S.A.              </t>
  </si>
  <si>
    <t xml:space="preserve">CONSORCIO FONDO DE BIENES PANAMEÑO (PANBIENES)    </t>
  </si>
  <si>
    <t xml:space="preserve">CONTINENTAL FINANCE CORPORATIONS                  </t>
  </si>
  <si>
    <t xml:space="preserve">COOP DE AHORRO Y CREDITO AVANCE R.L.              </t>
  </si>
  <si>
    <t xml:space="preserve">COOP. AH. CRED. FRENTE REF. EDUC. PANAMEÑOS R.L.  </t>
  </si>
  <si>
    <t>COOP. AHORRO Y CREDITO EL EDUCADOR CHIRICANO,R.L.</t>
  </si>
  <si>
    <t xml:space="preserve">COOP. AHORRO Y CREDITO ENFERMERAS Y AFINES,R.L.   </t>
  </si>
  <si>
    <t xml:space="preserve">COOP. AHORRO Y CREDITO SAN ANTONIO,R.L.           </t>
  </si>
  <si>
    <t xml:space="preserve">COOP. DE AH Y CR ASOC DE PROF UNIV. DE PANAMA     </t>
  </si>
  <si>
    <t>COOP. DE AH. Y CR. EMPLEADOS DE  USAID PANAMA, R.L</t>
  </si>
  <si>
    <t xml:space="preserve">COOP. DE AHORRO Y CR EMPLEADOS DE USAID PANAMA    </t>
  </si>
  <si>
    <t>COOP. DE AHORRO Y CR. EDUCADORES COCLESANOS, R.L.</t>
  </si>
  <si>
    <t>COOP. DE AHORRO Y CR. EL EDUCADOR VERAGUENSE, R.L.</t>
  </si>
  <si>
    <t>COOP. DE AHORRO Y CRED. EMP. DE RICARDO PEREZ, S.A</t>
  </si>
  <si>
    <t xml:space="preserve">COOP. DE AHORRO Y CREDITO CRISTOBAL, R.L.         </t>
  </si>
  <si>
    <t xml:space="preserve">COOP. DE AHORRO Y CREDITO EMPL. DEL IDAAN, R.L.   </t>
  </si>
  <si>
    <t xml:space="preserve">COOP. DE AHORRO Y CREDITO NUEVA UNION, R.L.       </t>
  </si>
  <si>
    <t xml:space="preserve">COOP. DE AHORRO Y CREDITO SPIA, R.L.              </t>
  </si>
  <si>
    <t xml:space="preserve">COOP. DE PRACTICOS DEL CANAL, R.L.                </t>
  </si>
  <si>
    <t xml:space="preserve">COOP. DE SERVICIOS MULTIPLES CHARCO AZUL, R.L.    </t>
  </si>
  <si>
    <t>COOP. DE SERVICIOS MULTIPLES ECASESO CHIRIQUI, R.L</t>
  </si>
  <si>
    <t xml:space="preserve">COOP. DE SERVICIOS MULTIPLES EDIOACC, R.L.        </t>
  </si>
  <si>
    <t xml:space="preserve">COOP. DE SERVICIOS MULTIPLES PROFESIONALES, R.L.  </t>
  </si>
  <si>
    <t xml:space="preserve">COOP. DE TRABAJADORES DEL IRHE (COOTIRHE)         </t>
  </si>
  <si>
    <t xml:space="preserve">COOP.DE AHORRO Y CR. EL EDUCADOR SANTEÑO,R.L.     </t>
  </si>
  <si>
    <t>COOP.DE SERV.MULTIPLES EL EDUCADOR VERAGUENSE,R.L.</t>
  </si>
  <si>
    <t xml:space="preserve">COOPEDUC                                          </t>
  </si>
  <si>
    <t xml:space="preserve">COOPERATIVA DE AHORRO Y CREDITO DE EMPLEADOS      </t>
  </si>
  <si>
    <t xml:space="preserve">COOPERATIVA DE AHORRO Y CREDITO ECASESO, R.L.     </t>
  </si>
  <si>
    <t xml:space="preserve">COOPERATIVA DE AHORRO Y CREDITO ORO VERDE, R.L.   </t>
  </si>
  <si>
    <t>COOPERATIVA DE LA INDUSTRIA DEL SEGURO Y AFINES,RL</t>
  </si>
  <si>
    <t>COOPERATIVA DE SERVICIOS MULTIPLES EL CRISOL, R.L.</t>
  </si>
  <si>
    <t>COOPERATIVA DE SERVICIOS MULTIPLES JUAN XXIII RL.</t>
  </si>
  <si>
    <t xml:space="preserve">COOPERATIVA DE TRANSPORTE TAXISTAS UNIDOS, R.L.   </t>
  </si>
  <si>
    <t xml:space="preserve">COOPERATIVA JOSE DEL CARMEN DOMINGUEZ             </t>
  </si>
  <si>
    <t xml:space="preserve">COOPEVE, R.L.                                     </t>
  </si>
  <si>
    <t>COOPRAC</t>
  </si>
  <si>
    <t xml:space="preserve">CORPORACION DE FINANZAS DEL PAIS, S.A.            </t>
  </si>
  <si>
    <t xml:space="preserve">CORPORACION FINANCIERA DE EQUIPOS, S.A.           </t>
  </si>
  <si>
    <t xml:space="preserve">CORPORACION FINANCIERA DE VALORES, S.A.           </t>
  </si>
  <si>
    <t xml:space="preserve">CORPORACION INMOBILIARIA BRESLAU, S.A.            </t>
  </si>
  <si>
    <t xml:space="preserve">CORPORACION NACIONAL DE CREDITOS Y COBROS, S.A.   </t>
  </si>
  <si>
    <t xml:space="preserve">CREATIVE DEVELOPMENT CONCEPTS, INC.               </t>
  </si>
  <si>
    <t>CREDICORP S.A.</t>
  </si>
  <si>
    <t xml:space="preserve">DESARROLLO GOLF CORONADO, S.A.                    </t>
  </si>
  <si>
    <t xml:space="preserve">DISTRIBUIDORA DAVID FORD COMPANY, S.A.            </t>
  </si>
  <si>
    <t xml:space="preserve">DISTRIBUIDORA DAVID, S.A.                         </t>
  </si>
  <si>
    <t xml:space="preserve">ECONO FINANZAS, S.A.                              </t>
  </si>
  <si>
    <t xml:space="preserve">ECONOPLADE, S.A.                                  </t>
  </si>
  <si>
    <t xml:space="preserve">EL DORAL COSTA SUR, S.A.                          </t>
  </si>
  <si>
    <t xml:space="preserve">EMMETS GLOBAL CORP.                               </t>
  </si>
  <si>
    <t>ES BANK (PANAMÁ), S.A.</t>
  </si>
  <si>
    <t xml:space="preserve">EYNAR ALEXIS SAMUDIO CASTRELLON                   </t>
  </si>
  <si>
    <t xml:space="preserve">FACTORING UNIVERSAL, S.A.                         </t>
  </si>
  <si>
    <t xml:space="preserve">FINANCIAL WAREHOUSING LATIN AMERICA, INC.         </t>
  </si>
  <si>
    <t xml:space="preserve">FINANCIERA AVANZA, S.A.                           </t>
  </si>
  <si>
    <t xml:space="preserve">FINANCIERA CASH SOLUTION CORP.                    </t>
  </si>
  <si>
    <t xml:space="preserve">FINANCIERA CENTRAL, S.A.                          </t>
  </si>
  <si>
    <t xml:space="preserve">FINANCIERA DAVIVIENDA, S.A.                       </t>
  </si>
  <si>
    <t xml:space="preserve">FINANCIERA EL SOL, S.A.                           </t>
  </si>
  <si>
    <t xml:space="preserve">FINANCIERA FINACREDIT, S.A.                       </t>
  </si>
  <si>
    <t xml:space="preserve">FINANCIERA INCA, S.A.                             </t>
  </si>
  <si>
    <t xml:space="preserve">FINANCIERA LA EXITOSA, S.A.                       </t>
  </si>
  <si>
    <t xml:space="preserve">FINANCIERA LA GENEROSA                            </t>
  </si>
  <si>
    <t xml:space="preserve">FINANCIERA PACIFICO INTERNACIONAL, S.A.           </t>
  </si>
  <si>
    <t xml:space="preserve">FINANCIERA PANAMA, S.A.                           </t>
  </si>
  <si>
    <t xml:space="preserve">FINANCIERA POPULAR DE PANAMA, S.A.                </t>
  </si>
  <si>
    <t xml:space="preserve">FINANCIERA PRESTO CASH, S.A.                      </t>
  </si>
  <si>
    <t xml:space="preserve">FINANCIERA PRESTO RAPIDO, S.A.                    </t>
  </si>
  <si>
    <t xml:space="preserve">FINANCIERA SOLIDARIA, S.A.                        </t>
  </si>
  <si>
    <t xml:space="preserve">FINANCIERA VOLCAN, S.A.                           </t>
  </si>
  <si>
    <t xml:space="preserve">FINANZAS GENERALES,S.A.                           </t>
  </si>
  <si>
    <t>FPB BANK INC.</t>
  </si>
  <si>
    <t xml:space="preserve">FUNDACION PANAMEÑA PARA LA VIVIENDA COOP.         </t>
  </si>
  <si>
    <t>GLOBAL BANK CORPORATION</t>
  </si>
  <si>
    <t xml:space="preserve">GLOBAL FINANCE GROUP, S.A.                        </t>
  </si>
  <si>
    <t xml:space="preserve">GLOBAL FINANCIAL FUNDS CORP.                      </t>
  </si>
  <si>
    <t>GNB SUDAMERIS BANK S.A.</t>
  </si>
  <si>
    <t xml:space="preserve">GRAN FINANCIERA, S.A.                             </t>
  </si>
  <si>
    <t xml:space="preserve">GRUPO FINANCIERO BALBOA, S.A.                     </t>
  </si>
  <si>
    <t xml:space="preserve">GRUPO FINANCIERO DELTA, S.A.                      </t>
  </si>
  <si>
    <t xml:space="preserve">GRUPO FINANCIERO EUROAMERICANO, S.A.              </t>
  </si>
  <si>
    <t>GTC BANK INC.</t>
  </si>
  <si>
    <t xml:space="preserve">HIPOTECARIA METROCREDIT, S.A.                     </t>
  </si>
  <si>
    <t xml:space="preserve">IFARHU                                            </t>
  </si>
  <si>
    <t xml:space="preserve">INCAPITAL FINANCIERA, S.A.                        </t>
  </si>
  <si>
    <t xml:space="preserve">INCASA, S.A.                                      </t>
  </si>
  <si>
    <t xml:space="preserve">INDESA CAPITAL, INC.                              </t>
  </si>
  <si>
    <t xml:space="preserve">INMOBILIARIA RODEO VIEJO                          </t>
  </si>
  <si>
    <t>INTELIGO BANK, LTD.</t>
  </si>
  <si>
    <t xml:space="preserve">INTERNATIONAL UNION BANK S.A. </t>
  </si>
  <si>
    <t xml:space="preserve">INVERSIONES SUCASA, S.A.                          </t>
  </si>
  <si>
    <t xml:space="preserve">INVERSIONES Y FINANZAS DEL PRADO, S.A.            </t>
  </si>
  <si>
    <t>ITAU (PANAMÁ) S.A.</t>
  </si>
  <si>
    <t xml:space="preserve">J.J. PROPERTIES, S.A.                             </t>
  </si>
  <si>
    <t xml:space="preserve">LEASING CUSCATLAN, S.A.                           </t>
  </si>
  <si>
    <t xml:space="preserve">LEASING DE PANAMA, S.A.                           </t>
  </si>
  <si>
    <t xml:space="preserve">MARITZA BONILLA DE GUZMAN                         </t>
  </si>
  <si>
    <t xml:space="preserve">MARPE INC                                         </t>
  </si>
  <si>
    <t>MEGA INTERNATIONAL COMMERCIAL BANK CO. LTD.</t>
  </si>
  <si>
    <t>MERCANTIL BANCO, S.A.</t>
  </si>
  <si>
    <t xml:space="preserve">METRO LEASING, S.A.                               </t>
  </si>
  <si>
    <t>METROBANK, S.A.</t>
  </si>
  <si>
    <t>MI FINANCIERA</t>
  </si>
  <si>
    <t>MMG BANK CORPORATION</t>
  </si>
  <si>
    <t xml:space="preserve">MULTI ARRENDADORA, S.A.                           </t>
  </si>
  <si>
    <t xml:space="preserve">MULTI FINANCIAMIENTOS, S.A.                       </t>
  </si>
  <si>
    <t>MULTIBANK INC.</t>
  </si>
  <si>
    <t xml:space="preserve">MULTIPRESTAMOS, S.A.                              </t>
  </si>
  <si>
    <t xml:space="preserve">NAPA VILLAGE INC.                                 </t>
  </si>
  <si>
    <t>PACIFIC BANK, S.A.</t>
  </si>
  <si>
    <t xml:space="preserve">PACIFIC VIEW INVESTMENT, S.A.                     </t>
  </si>
  <si>
    <t xml:space="preserve">PANACREDIT CORPORATION                            </t>
  </si>
  <si>
    <t xml:space="preserve">PANAMA HOMES AND HOLIDAYS CORP.                   </t>
  </si>
  <si>
    <t xml:space="preserve">PANAMAQUINAS S.A.                                 </t>
  </si>
  <si>
    <t>PKB BANCA PRIVADA (PANAMÁ) S.A.</t>
  </si>
  <si>
    <t xml:space="preserve">POONAM IMPORTS, S.A.                              </t>
  </si>
  <si>
    <t>POPULAR BANK LTD.INC.</t>
  </si>
  <si>
    <t xml:space="preserve">PRIVAL BANK, S.A.                                 </t>
  </si>
  <si>
    <t xml:space="preserve">PRIVIVIENDA, S.A.                                 </t>
  </si>
  <si>
    <t xml:space="preserve">PRODUBANK PANAMA S A                              </t>
  </si>
  <si>
    <t xml:space="preserve">PRODUCTOS OCEANO, S.A.                            </t>
  </si>
  <si>
    <t xml:space="preserve">PROVIVIENDAS, S.A.                                </t>
  </si>
  <si>
    <t xml:space="preserve">RAPI PRESTAMOS, S.A.                              </t>
  </si>
  <si>
    <t xml:space="preserve">RENT A CAR PANAMEÑA, S.A.                         </t>
  </si>
  <si>
    <t xml:space="preserve">RICARDO PEREZ, S.A.                               </t>
  </si>
  <si>
    <t xml:space="preserve">SEGUROS SURAMERICANA, S.A.                        </t>
  </si>
  <si>
    <t xml:space="preserve">SERVICIOS FINANCIEROS PANAMA, S.A.                </t>
  </si>
  <si>
    <t xml:space="preserve">SILABA MOTORS, S.A.                               </t>
  </si>
  <si>
    <t xml:space="preserve">SOC. INT. DE AH. Y PREST. PARA LA VIVIENDA, S.A.  </t>
  </si>
  <si>
    <t>SOC. INTERI. DE AH. Y PREST. PARA LA VIVIENDA, S.A</t>
  </si>
  <si>
    <t>ST. GEORGES BANK &amp; COMPANY, INC.</t>
  </si>
  <si>
    <t xml:space="preserve">SUBASTA GANADERA DE PANAMA, S.A.                  </t>
  </si>
  <si>
    <t>SUCRE ARIAS &amp; REYES TRUST SERVICES ,S.A.</t>
  </si>
  <si>
    <t xml:space="preserve">TAG BANK S.A. </t>
  </si>
  <si>
    <t>THE BANK OF NOVA SCOTIA (PANAMÁ), S.A.</t>
  </si>
  <si>
    <t>THE BANK OF NOVA SCOTIA (SCOTIABANK)</t>
  </si>
  <si>
    <t xml:space="preserve">TOPANGA FINANCIAL INC                             </t>
  </si>
  <si>
    <t xml:space="preserve">TOWER LEASING, INC.                               </t>
  </si>
  <si>
    <t>TOWERBANK INTERNATIONAL INC.</t>
  </si>
  <si>
    <t>UNIBANK, S.A.</t>
  </si>
  <si>
    <t>Banco Lafise Panamá S.A.</t>
  </si>
  <si>
    <t>Descuento_Automático_ACH</t>
  </si>
  <si>
    <t>RC Esencial</t>
  </si>
  <si>
    <t>Otra opción</t>
  </si>
  <si>
    <t>RC Básico</t>
  </si>
  <si>
    <t>RC Estándar</t>
  </si>
  <si>
    <t>RC Clásico</t>
  </si>
  <si>
    <t>Respaldoeco</t>
  </si>
  <si>
    <t>prima</t>
  </si>
  <si>
    <t>De B/. 1,001 a B/. 10,000</t>
  </si>
  <si>
    <t>De B/. 10,001 a B/. 100,000</t>
  </si>
  <si>
    <t>&gt; B/. 100,001</t>
  </si>
  <si>
    <t>Respaldo Económico</t>
  </si>
  <si>
    <t>Pirma Anual</t>
  </si>
  <si>
    <t>Asegúrese que sea un valor numérico</t>
  </si>
  <si>
    <t>Cantidad de ocupantes</t>
  </si>
  <si>
    <t>Actividad</t>
  </si>
  <si>
    <t>Transporte Público Provincial</t>
  </si>
  <si>
    <t>Transporte Público Ruta Interna</t>
  </si>
  <si>
    <t>Transporte Público Vehiculo Modificado</t>
  </si>
  <si>
    <t>Transporte Público Taxi Rural</t>
  </si>
  <si>
    <t>Transporte de Empleados</t>
  </si>
  <si>
    <t>Transporte Colegial</t>
  </si>
  <si>
    <t>Transporte de Turismo</t>
  </si>
  <si>
    <t>Transporte Comercial de Carga</t>
  </si>
  <si>
    <t>Mensajería - Motos</t>
  </si>
  <si>
    <t xml:space="preserve">Cantidad </t>
  </si>
  <si>
    <t>Asegúrese de que el año sea un año vigente. Solo se permiten 4 caracteres numéricos</t>
  </si>
  <si>
    <t>fecha</t>
  </si>
  <si>
    <t>Sección II: Datos del Bien Asegurado</t>
  </si>
  <si>
    <t>Pasajero</t>
  </si>
  <si>
    <t>Suma Asegurada</t>
  </si>
  <si>
    <t>Gastos Médicos</t>
  </si>
  <si>
    <t>Tipo Vehículo</t>
  </si>
  <si>
    <t>Opción 3</t>
  </si>
  <si>
    <t>Opción 4</t>
  </si>
  <si>
    <t>Opción 5</t>
  </si>
  <si>
    <t>Opción 6</t>
  </si>
  <si>
    <t>Transporte_Público_Provincial</t>
  </si>
  <si>
    <t>Transporte_Público_Ruta_Interna</t>
  </si>
  <si>
    <t>Transporte_Público_Vehiculo_Modificado</t>
  </si>
  <si>
    <t>Transporte_Público_Taxi_Rural</t>
  </si>
  <si>
    <t>Transporte_de_Empleados</t>
  </si>
  <si>
    <t>Transporte_Colegial</t>
  </si>
  <si>
    <t>Transporte_de_Turismo</t>
  </si>
  <si>
    <t>Transporte_Comercial_de_Carga</t>
  </si>
  <si>
    <t>Particular_</t>
  </si>
  <si>
    <t>Mensajería_Motos</t>
  </si>
  <si>
    <t>Transporte_Público_Movilidad_Urbana</t>
  </si>
  <si>
    <t>Moto</t>
  </si>
  <si>
    <t>a</t>
  </si>
  <si>
    <t>b</t>
  </si>
  <si>
    <t>Lesiones_Corporales</t>
  </si>
  <si>
    <t>Daños_a_la_propiedad_ajena</t>
  </si>
  <si>
    <t>Gastos_Médicos</t>
  </si>
  <si>
    <t>Otra_opción</t>
  </si>
  <si>
    <t>RC Elemental</t>
  </si>
  <si>
    <t>RC Convencional</t>
  </si>
  <si>
    <t>B/. 5,000 por persona - B/. 10,000 por accidente</t>
  </si>
  <si>
    <t>B/. 10,000 por persona - B/. 20,000 por accidente</t>
  </si>
  <si>
    <t>B/. 25,000 por persona - B/. 50,000 por accidente</t>
  </si>
  <si>
    <t>B/. 50,000 por persona - B/. 100,000 por accidente</t>
  </si>
  <si>
    <t>B/. 100,000 por persona - B/. 100,000 por accidente</t>
  </si>
  <si>
    <t>B/. 5,000 por accidente</t>
  </si>
  <si>
    <t>B/. 10,000 por accidente</t>
  </si>
  <si>
    <t>B/. 15,000 por accidente</t>
  </si>
  <si>
    <t>B/. 20,000 por accidente</t>
  </si>
  <si>
    <t>B/. 25,000 por accidente</t>
  </si>
  <si>
    <t>B/. 50,000 por accidente</t>
  </si>
  <si>
    <t>B/. 100,000 por accidente</t>
  </si>
  <si>
    <t>B/. 500 por persona - B/. 2,500 por accidente</t>
  </si>
  <si>
    <t>B/. 1,000 por persona - B/. 5,000 por accidente</t>
  </si>
  <si>
    <t>B/. 2,000 por persona - B/. 10,000 por accidente</t>
  </si>
  <si>
    <t>B/. 5,000 por persona - B/. 25,000 por accidente</t>
  </si>
  <si>
    <t>B/. 10,000 por persona - B/. 50,000 por accidente</t>
  </si>
  <si>
    <t xml:space="preserve">Beneficiarios para las pólizas de Automóvil y Accidentes Personales      </t>
  </si>
  <si>
    <t>x</t>
  </si>
  <si>
    <t>y</t>
  </si>
  <si>
    <t>RC Especial</t>
  </si>
  <si>
    <t>SOS Full Extra</t>
  </si>
  <si>
    <t>Full Extra</t>
  </si>
  <si>
    <t>Full Extra premium</t>
  </si>
  <si>
    <t>Prima anual</t>
  </si>
  <si>
    <t>limite de lesiones corporales</t>
  </si>
  <si>
    <t>limite de daños a la propiedad privada</t>
  </si>
  <si>
    <t>limite de gastos medicos</t>
  </si>
  <si>
    <t>Nombre Completo</t>
  </si>
  <si>
    <t>Dirección Residencial del Asegurado</t>
  </si>
  <si>
    <t>Dirección de Trabajo del Asegurado</t>
  </si>
  <si>
    <t>Te ofrecemos cobertura las 24 horas del día, los 365 días del año, protección dentro y fuera de horas laborables. Edad de Entrada: 18 a 70 años. Edad de cancelación: 75 años. Cubre al conductor del vehículo y los pasajeros que sean impactados por un incidente, siempre y cuando estos estén debidamente sentados, subiendo o bajando del vehículo. Ofrece cobertura de muerte accidental, adelanto por desmembramiento por accidente, adelanto por incapacidad total y permanente por accidente, gastos médicos por accidente, y renta diaria por incapacidad temporal  por accidente.</t>
  </si>
  <si>
    <t>Te ofrecemos cobertura las 24 horas del día, los 365 días del año, protección en cualquier parte del mundo, dentro o fuera del vehículo. Edad de Entrada: 18 a 70 años. Edad de cancelación: 75 años. Ofrece cobertura de muerte accidental, adelanto por desmembramiento por accidente y por incapacidad total y permanente, homicidio culposo y adelanto de gastos funerarios hasta B/. 3,000.00</t>
  </si>
  <si>
    <t>asiento</t>
  </si>
  <si>
    <t>Cobertura de B/. 15,000.00 - Prima mensual B/. 2.40 (incluye impuesto)</t>
  </si>
  <si>
    <t>Cobertura de B/. 25,000.00 - Prima mensual B/. 3.90 (incluye impuesto)</t>
  </si>
  <si>
    <t>&lt; B/.  300</t>
  </si>
  <si>
    <t>De B/. 300 a B/. 1,000</t>
  </si>
  <si>
    <t>unpago</t>
  </si>
  <si>
    <t>maspagos</t>
  </si>
  <si>
    <t>Algunos campos pueden dejar de ser obligatorios y viceversa dependiendo de predeterminadas respuestas que se ingresan en otros campos.</t>
  </si>
  <si>
    <t>Este documento debe ser impreso en tamaño CARTA</t>
  </si>
  <si>
    <t>Si es una flota, basta solo con adjuntar a esta solicitud los registros vehiculares de cada auto que se esta asegurando.</t>
  </si>
  <si>
    <t>Pasos</t>
  </si>
  <si>
    <t>Conforme a lo dispuesto en la Ley No. 24 de 22 de mayo de 2002 que regula el servicio de información sobre el historial de crédito de los consumidores o clientes y la Ley No. 14 del 18 de mayo de 2006 que modifica y adiciona artículos a la Ley No. 24,  autorizo a SEGUROS SURAMERICANA S.A., su matriz, filiales y subsidiarias a solicitar, consultar, recopilar, intercambiar, y transmitir a cualquier agencia de información de datos,  instituciones gubernamentales, bancos o agentes económicos informaciones relacionadas con obligaciones o transacciones crediticias, que mantengo o pudiera mantener con dichos agentes económicos de la localidad o del exterior, sobre mi historial de crédito y relaciones con acreedores, así como cualquier otra información personal que sea necesaria.</t>
  </si>
  <si>
    <t>Si la forma de pago es de tarjeta de crédito o tarjeta de crédito debito, el cliente no debe completar ningún formulario adicional, ya que con la información que se le pide en este es suficiente.</t>
  </si>
  <si>
    <t>Para que se pueda realizar la vinculación de la tarjeta de crédito/crédito debito o descuento automático de ACH, es fundamental que se canalice esta solicitud por AURA PORTAL, de lo contrario no se vinculara al sistema.</t>
  </si>
  <si>
    <t>Certifico que las respuestas proporcionadas en este documento son exactas y veraces. Cualquier declaración falsa o inexacta, hecha en esta solicitud facultará a SEGUROS SURAMERICANA, S.A. a invalidar esta cobertura de seguros.</t>
  </si>
  <si>
    <t>No es requerido que el asegurado adicionalmente llene el formulario de "Conoce a tu cliente" si completa este, ya que el mismo incluye todos los campos del anterior.</t>
  </si>
  <si>
    <t>Si el pagador o el contratante son diferentes al asegurado entonces si deben llenar adicionalmente cada uno el formulario de "Conoce a tu cliente".</t>
  </si>
  <si>
    <t>Ingresos del Asegurado</t>
  </si>
  <si>
    <t>&lt;  B/. 10,000</t>
  </si>
  <si>
    <t>De B/. 10,001 a B/. 30,000</t>
  </si>
  <si>
    <t>De B/. 30,001 a B/. 50,000</t>
  </si>
  <si>
    <t>&gt; B/. 50,000</t>
  </si>
  <si>
    <r>
      <t xml:space="preserve">Primer Nombre </t>
    </r>
    <r>
      <rPr>
        <b/>
        <sz val="16"/>
        <color rgb="FFFF0000"/>
        <rFont val="Arial"/>
        <family val="2"/>
      </rPr>
      <t>*</t>
    </r>
  </si>
  <si>
    <r>
      <t xml:space="preserve">Estado Civil </t>
    </r>
    <r>
      <rPr>
        <b/>
        <sz val="16"/>
        <color rgb="FFFF0000"/>
        <rFont val="Arial"/>
        <family val="2"/>
      </rPr>
      <t>*</t>
    </r>
  </si>
  <si>
    <r>
      <t xml:space="preserve">País de Nacimiento </t>
    </r>
    <r>
      <rPr>
        <b/>
        <sz val="16"/>
        <color rgb="FFFF0000"/>
        <rFont val="Arial"/>
        <family val="2"/>
      </rPr>
      <t>*</t>
    </r>
  </si>
  <si>
    <r>
      <t xml:space="preserve">Nacionalidad </t>
    </r>
    <r>
      <rPr>
        <b/>
        <sz val="16"/>
        <color rgb="FFFF0000"/>
        <rFont val="Arial"/>
        <family val="2"/>
      </rPr>
      <t>*</t>
    </r>
  </si>
  <si>
    <r>
      <t xml:space="preserve">Celular </t>
    </r>
    <r>
      <rPr>
        <b/>
        <sz val="16"/>
        <color rgb="FFFF0000"/>
        <rFont val="Arial"/>
        <family val="2"/>
      </rPr>
      <t>*</t>
    </r>
  </si>
  <si>
    <r>
      <t xml:space="preserve">Nro. de Hijos </t>
    </r>
    <r>
      <rPr>
        <b/>
        <sz val="16"/>
        <color rgb="FFFF0000"/>
        <rFont val="Arial"/>
        <family val="2"/>
      </rPr>
      <t>*</t>
    </r>
  </si>
  <si>
    <r>
      <rPr>
        <b/>
        <sz val="16"/>
        <color theme="4"/>
        <rFont val="Arial"/>
        <family val="2"/>
      </rPr>
      <t>País de Ubicación</t>
    </r>
    <r>
      <rPr>
        <sz val="16"/>
        <color theme="1"/>
        <rFont val="Arial"/>
        <family val="2"/>
      </rPr>
      <t xml:space="preserve"> </t>
    </r>
    <r>
      <rPr>
        <sz val="16"/>
        <color rgb="FFFF0000"/>
        <rFont val="Arial"/>
        <family val="2"/>
      </rPr>
      <t>*</t>
    </r>
  </si>
  <si>
    <r>
      <rPr>
        <b/>
        <sz val="16"/>
        <color theme="4"/>
        <rFont val="Arial"/>
        <family val="2"/>
      </rPr>
      <t>Correo Electrónico</t>
    </r>
    <r>
      <rPr>
        <b/>
        <sz val="16"/>
        <color rgb="FF002060"/>
        <rFont val="Arial"/>
        <family val="2"/>
      </rPr>
      <t xml:space="preserve"> </t>
    </r>
  </si>
  <si>
    <r>
      <rPr>
        <b/>
        <sz val="16"/>
        <color theme="4"/>
        <rFont val="Arial"/>
        <family val="2"/>
      </rPr>
      <t>Inicio de vigencia</t>
    </r>
    <r>
      <rPr>
        <sz val="16"/>
        <color theme="4"/>
        <rFont val="Arial"/>
        <family val="2"/>
      </rPr>
      <t xml:space="preserve"> </t>
    </r>
    <r>
      <rPr>
        <sz val="16"/>
        <color rgb="FFFF0000"/>
        <rFont val="Arial"/>
        <family val="2"/>
      </rPr>
      <t>*</t>
    </r>
  </si>
  <si>
    <r>
      <rPr>
        <b/>
        <sz val="16"/>
        <color theme="4"/>
        <rFont val="Arial"/>
        <family val="2"/>
      </rPr>
      <t>Fin de vigencia</t>
    </r>
    <r>
      <rPr>
        <sz val="16"/>
        <color theme="4"/>
        <rFont val="Arial"/>
        <family val="2"/>
      </rPr>
      <t xml:space="preserve"> </t>
    </r>
    <r>
      <rPr>
        <sz val="16"/>
        <color rgb="FFFF0000"/>
        <rFont val="Arial"/>
        <family val="2"/>
      </rPr>
      <t>*</t>
    </r>
  </si>
  <si>
    <r>
      <t xml:space="preserve">Tipo de Cobertura  </t>
    </r>
    <r>
      <rPr>
        <b/>
        <sz val="16"/>
        <color rgb="FFFF0000"/>
        <rFont val="Arial"/>
        <family val="2"/>
      </rPr>
      <t>*</t>
    </r>
  </si>
  <si>
    <r>
      <t xml:space="preserve">Cantidad de Pagos </t>
    </r>
    <r>
      <rPr>
        <b/>
        <sz val="16"/>
        <color rgb="FFFF0000"/>
        <rFont val="Arial"/>
        <family val="2"/>
      </rPr>
      <t>*</t>
    </r>
  </si>
  <si>
    <t xml:space="preserve"> "Esta autorización continuará vigente después de la renovación de mi tarjeta de crédito y así se mantendrá al momento de renovarse la póliza. Sólo podrá ser cancelada por mí mediando notificación previa y escrita a SEGUROS SURAMERICANA, S.A. o por decisión de ésta en caso de incumplimiento. Reconozco que es mi compromiso mantener saldo suficiente para que puedan hacerse efectivos los cargos que por este medio he autorizado y en consecuencia relevo a SEGUROS SURAMERICANA, S.A. de cualquier responsabilidad que pudiera ocasionar la pérdida del seguro. El importe de la prima está sujeto a modificaciones, ya sea por el asegurado o por SEGUROS SURAMERICANA, S.A., en cuyo caso será igualmente comunicado al banco para su cobro. El cliente se hace responsable de notificar a SEGUROS SURAMERICANA, S.A. El vencimiento así como cualquier cambio de tarjeta de crédito. En el evento que la cuenta antes señalada, no tenga fondos, autorizo a SEGUROS SURAMERICANA, S.A. y a la vez a EL BANCO, para que REALICE DÉBITOS a cualquier otra cuenta que mantenga con fondos.”</t>
  </si>
  <si>
    <t xml:space="preserve">Segundo Nombre </t>
  </si>
  <si>
    <r>
      <rPr>
        <b/>
        <sz val="16"/>
        <color theme="4"/>
        <rFont val="Arial"/>
        <family val="2"/>
      </rPr>
      <t>Primer Apellido</t>
    </r>
    <r>
      <rPr>
        <sz val="16"/>
        <color theme="1"/>
        <rFont val="Arial"/>
        <family val="2"/>
      </rPr>
      <t xml:space="preserve"> </t>
    </r>
    <r>
      <rPr>
        <sz val="16"/>
        <color rgb="FFFF0000"/>
        <rFont val="Arial"/>
        <family val="2"/>
      </rPr>
      <t>*</t>
    </r>
  </si>
  <si>
    <t xml:space="preserve">Segundo Apellido </t>
  </si>
  <si>
    <r>
      <t>Identificación</t>
    </r>
    <r>
      <rPr>
        <b/>
        <sz val="16"/>
        <color rgb="FFFF0000"/>
        <rFont val="Arial"/>
        <family val="2"/>
      </rPr>
      <t xml:space="preserve"> *</t>
    </r>
  </si>
  <si>
    <r>
      <rPr>
        <b/>
        <sz val="16"/>
        <color theme="4"/>
        <rFont val="Arial"/>
        <family val="2"/>
      </rPr>
      <t>Fecha de Nacimiento</t>
    </r>
    <r>
      <rPr>
        <sz val="16"/>
        <color theme="4"/>
        <rFont val="Arial"/>
        <family val="2"/>
      </rPr>
      <t xml:space="preserve"> </t>
    </r>
    <r>
      <rPr>
        <sz val="16"/>
        <color rgb="FFFF0000"/>
        <rFont val="Arial"/>
        <family val="2"/>
      </rPr>
      <t>*</t>
    </r>
    <r>
      <rPr>
        <sz val="16"/>
        <color theme="4"/>
        <rFont val="Arial"/>
        <family val="2"/>
      </rPr>
      <t xml:space="preserve"> </t>
    </r>
    <r>
      <rPr>
        <i/>
        <sz val="10"/>
        <color theme="4"/>
        <rFont val="Arial"/>
        <family val="2"/>
      </rPr>
      <t>dd/mm/aaaa</t>
    </r>
  </si>
  <si>
    <t xml:space="preserve">PERSONA NATURAL </t>
  </si>
  <si>
    <r>
      <rPr>
        <b/>
        <sz val="16"/>
        <color theme="4"/>
        <rFont val="Arial"/>
        <family val="2"/>
      </rPr>
      <t>País de Ubicación</t>
    </r>
    <r>
      <rPr>
        <sz val="16"/>
        <color theme="4"/>
        <rFont val="Arial"/>
        <family val="2"/>
      </rPr>
      <t xml:space="preserve"> </t>
    </r>
    <r>
      <rPr>
        <sz val="16"/>
        <color rgb="FFFF0000"/>
        <rFont val="Arial"/>
        <family val="2"/>
      </rPr>
      <t>*</t>
    </r>
  </si>
  <si>
    <r>
      <rPr>
        <b/>
        <sz val="16"/>
        <color theme="4"/>
        <rFont val="Arial"/>
        <family val="2"/>
      </rPr>
      <t>Calle o Avenida</t>
    </r>
    <r>
      <rPr>
        <sz val="16"/>
        <color rgb="FFFF0000"/>
        <rFont val="Arial"/>
        <family val="2"/>
      </rPr>
      <t xml:space="preserve"> </t>
    </r>
  </si>
  <si>
    <t xml:space="preserve">Nombre de Urbanización / Edificio </t>
  </si>
  <si>
    <t xml:space="preserve">Número de casa / apartamento </t>
  </si>
  <si>
    <r>
      <t xml:space="preserve">Genero </t>
    </r>
    <r>
      <rPr>
        <b/>
        <sz val="16"/>
        <color rgb="FFFF0000"/>
        <rFont val="Arial"/>
        <family val="2"/>
      </rPr>
      <t>*</t>
    </r>
  </si>
  <si>
    <r>
      <rPr>
        <b/>
        <sz val="16"/>
        <color theme="4"/>
        <rFont val="Arial"/>
        <family val="2"/>
      </rPr>
      <t>Calle o Avenida</t>
    </r>
    <r>
      <rPr>
        <sz val="16"/>
        <color theme="1"/>
        <rFont val="Arial"/>
        <family val="2"/>
      </rPr>
      <t xml:space="preserve"> </t>
    </r>
  </si>
  <si>
    <r>
      <rPr>
        <b/>
        <sz val="16"/>
        <color theme="4"/>
        <rFont val="Arial"/>
        <family val="2"/>
      </rPr>
      <t>Nombre de Urbanización / Edificio</t>
    </r>
    <r>
      <rPr>
        <b/>
        <sz val="16"/>
        <color rgb="FF002060"/>
        <rFont val="Arial"/>
        <family val="2"/>
      </rPr>
      <t xml:space="preserve"> </t>
    </r>
  </si>
  <si>
    <r>
      <rPr>
        <b/>
        <sz val="16"/>
        <color theme="4"/>
        <rFont val="Arial"/>
        <family val="2"/>
      </rPr>
      <t>Número de Local</t>
    </r>
    <r>
      <rPr>
        <sz val="16"/>
        <color theme="1"/>
        <rFont val="Arial"/>
        <family val="2"/>
      </rPr>
      <t xml:space="preserve"> </t>
    </r>
    <r>
      <rPr>
        <sz val="16"/>
        <color rgb="FFFF0000"/>
        <rFont val="Arial"/>
        <family val="2"/>
      </rPr>
      <t>*</t>
    </r>
  </si>
  <si>
    <t>Teléfono</t>
  </si>
  <si>
    <r>
      <rPr>
        <b/>
        <sz val="16"/>
        <color theme="4"/>
        <rFont val="Arial"/>
        <family val="2"/>
      </rPr>
      <t>Correo Electrónico</t>
    </r>
    <r>
      <rPr>
        <b/>
        <sz val="16"/>
        <color rgb="FF002060"/>
        <rFont val="Arial"/>
        <family val="2"/>
      </rPr>
      <t xml:space="preserve"> </t>
    </r>
    <r>
      <rPr>
        <b/>
        <sz val="16"/>
        <color rgb="FFFF0000"/>
        <rFont val="Arial"/>
        <family val="2"/>
      </rPr>
      <t>*</t>
    </r>
  </si>
  <si>
    <r>
      <rPr>
        <b/>
        <sz val="16"/>
        <color theme="4"/>
        <rFont val="Arial"/>
        <family val="2"/>
      </rPr>
      <t>Profesión</t>
    </r>
    <r>
      <rPr>
        <b/>
        <sz val="16"/>
        <color theme="1"/>
        <rFont val="Arial"/>
        <family val="2"/>
      </rPr>
      <t xml:space="preserve"> </t>
    </r>
    <r>
      <rPr>
        <b/>
        <sz val="16"/>
        <color rgb="FFFF0000"/>
        <rFont val="Arial"/>
        <family val="2"/>
      </rPr>
      <t>*</t>
    </r>
  </si>
  <si>
    <t>Actuario</t>
  </si>
  <si>
    <t>Agente de atención al cliente</t>
  </si>
  <si>
    <t>Agente de cambio de divisas</t>
  </si>
  <si>
    <t>Albañil</t>
  </si>
  <si>
    <t>Apicultor</t>
  </si>
  <si>
    <t>Arbitro</t>
  </si>
  <si>
    <t>Arqueólogo</t>
  </si>
  <si>
    <t>Artista</t>
  </si>
  <si>
    <t>Avaluador</t>
  </si>
  <si>
    <t>Azafato/a</t>
  </si>
  <si>
    <t>Basurero</t>
  </si>
  <si>
    <t>Bodeguero</t>
  </si>
  <si>
    <t>Camarógrafo</t>
  </si>
  <si>
    <t>Catador</t>
  </si>
  <si>
    <t>Cazador</t>
  </si>
  <si>
    <t>Cazatalentos</t>
  </si>
  <si>
    <t>Chatarrero</t>
  </si>
  <si>
    <t>Científico</t>
  </si>
  <si>
    <t>Comunicador social</t>
  </si>
  <si>
    <t>Consultor</t>
  </si>
  <si>
    <t>Controlador Aéreo</t>
  </si>
  <si>
    <t>Coreógrafo</t>
  </si>
  <si>
    <t>Corredor de Bolsa</t>
  </si>
  <si>
    <t>Criminalista</t>
  </si>
  <si>
    <t>Diplomático</t>
  </si>
  <si>
    <t>Domador</t>
  </si>
  <si>
    <t>Domestica/o</t>
  </si>
  <si>
    <t>Enfermero</t>
  </si>
  <si>
    <t>Entrenador de Animales</t>
  </si>
  <si>
    <t>Entrenador de Personas</t>
  </si>
  <si>
    <t>Estadístico</t>
  </si>
  <si>
    <t>Esteticista</t>
  </si>
  <si>
    <t>Explorador</t>
  </si>
  <si>
    <t>Filosofo</t>
  </si>
  <si>
    <t>Funcionario Publico</t>
  </si>
  <si>
    <t>Humanista</t>
  </si>
  <si>
    <t>Humorista</t>
  </si>
  <si>
    <t>Instructor</t>
  </si>
  <si>
    <t>Lotero</t>
  </si>
  <si>
    <t>Marino</t>
  </si>
  <si>
    <t>Matarife</t>
  </si>
  <si>
    <t>Mecánico automotriz</t>
  </si>
  <si>
    <t>Mercadotecnita</t>
  </si>
  <si>
    <t>Motociclista</t>
  </si>
  <si>
    <t>Naviero</t>
  </si>
  <si>
    <t>piloto</t>
  </si>
  <si>
    <t>Piloto de Avión</t>
  </si>
  <si>
    <t>Piloto de carreras</t>
  </si>
  <si>
    <t>Político</t>
  </si>
  <si>
    <t>Prensista</t>
  </si>
  <si>
    <t>Prestamista</t>
  </si>
  <si>
    <t>Profesional de Salud Ocupacional</t>
  </si>
  <si>
    <t>Psiquiatra</t>
  </si>
  <si>
    <t xml:space="preserve">Publicista </t>
  </si>
  <si>
    <t>Radiofísico Medico</t>
  </si>
  <si>
    <t>Relojero</t>
  </si>
  <si>
    <t xml:space="preserve">Reportero </t>
  </si>
  <si>
    <t>Talabartería</t>
  </si>
  <si>
    <t>Taxista</t>
  </si>
  <si>
    <t>Técnico Agropecuario</t>
  </si>
  <si>
    <t>Técnico en Seguros</t>
  </si>
  <si>
    <t>Torero</t>
  </si>
  <si>
    <t xml:space="preserve">Actividad Económica </t>
  </si>
  <si>
    <t>Teléfono Fijo</t>
  </si>
  <si>
    <r>
      <rPr>
        <b/>
        <sz val="16"/>
        <color theme="4"/>
        <rFont val="Arial"/>
        <family val="2"/>
      </rPr>
      <t>Ingresos anuales por actividad principal</t>
    </r>
    <r>
      <rPr>
        <sz val="16"/>
        <color theme="1"/>
        <rFont val="Arial"/>
        <family val="2"/>
      </rPr>
      <t xml:space="preserve"> </t>
    </r>
    <r>
      <rPr>
        <sz val="16"/>
        <color rgb="FFFF0000"/>
        <rFont val="Arial"/>
        <family val="2"/>
      </rPr>
      <t>*</t>
    </r>
  </si>
  <si>
    <t>Lugar donde paga sus impuestos</t>
  </si>
  <si>
    <r>
      <rPr>
        <b/>
        <sz val="16"/>
        <color theme="4"/>
        <rFont val="Arial"/>
        <family val="2"/>
      </rPr>
      <t>Residencia Fiscal</t>
    </r>
    <r>
      <rPr>
        <b/>
        <sz val="16"/>
        <color theme="1"/>
        <rFont val="Arial"/>
        <family val="2"/>
      </rPr>
      <t xml:space="preserve"> </t>
    </r>
    <r>
      <rPr>
        <b/>
        <sz val="16"/>
        <color rgb="FFFF0000"/>
        <rFont val="Arial"/>
        <family val="2"/>
      </rPr>
      <t>*</t>
    </r>
  </si>
  <si>
    <r>
      <rPr>
        <b/>
        <sz val="16"/>
        <color theme="4"/>
        <rFont val="Arial"/>
        <family val="2"/>
      </rPr>
      <t>Otra Residencia Fiscal</t>
    </r>
    <r>
      <rPr>
        <b/>
        <sz val="16"/>
        <color theme="1"/>
        <rFont val="Arial"/>
        <family val="2"/>
      </rPr>
      <t xml:space="preserve"> </t>
    </r>
  </si>
  <si>
    <r>
      <t>¿Es el Contratante diferente al Asegurado?</t>
    </r>
    <r>
      <rPr>
        <b/>
        <sz val="18"/>
        <color rgb="FFFF0000"/>
        <rFont val="Arial"/>
        <family val="2"/>
      </rPr>
      <t xml:space="preserve"> *</t>
    </r>
    <r>
      <rPr>
        <b/>
        <sz val="18"/>
        <color theme="0"/>
        <rFont val="Arial"/>
        <family val="2"/>
      </rPr>
      <t xml:space="preserve">                  </t>
    </r>
    <r>
      <rPr>
        <b/>
        <i/>
        <sz val="14"/>
        <color theme="0"/>
        <rFont val="Arial"/>
        <family val="2"/>
      </rPr>
      <t>Seleccione del menú Si/No</t>
    </r>
  </si>
  <si>
    <r>
      <t>¿Es el Pagador diferente al Asegurado y al Contratante?</t>
    </r>
    <r>
      <rPr>
        <b/>
        <sz val="18"/>
        <color rgb="FFFF0000"/>
        <rFont val="Arial"/>
        <family val="2"/>
      </rPr>
      <t xml:space="preserve"> *</t>
    </r>
    <r>
      <rPr>
        <b/>
        <sz val="18"/>
        <color theme="0"/>
        <rFont val="Arial"/>
        <family val="2"/>
      </rPr>
      <t xml:space="preserve">      </t>
    </r>
    <r>
      <rPr>
        <b/>
        <i/>
        <sz val="14"/>
        <color theme="0"/>
        <rFont val="Arial"/>
        <family val="2"/>
      </rPr>
      <t>Seleccione del menú Si/No</t>
    </r>
  </si>
  <si>
    <t xml:space="preserve">Nombre Completo </t>
  </si>
  <si>
    <r>
      <t>Identificación</t>
    </r>
    <r>
      <rPr>
        <b/>
        <sz val="16"/>
        <color rgb="FFFF0000"/>
        <rFont val="Arial"/>
        <family val="2"/>
      </rPr>
      <t xml:space="preserve"> </t>
    </r>
  </si>
  <si>
    <t xml:space="preserve">Nacionalidad </t>
  </si>
  <si>
    <r>
      <t xml:space="preserve">Flota </t>
    </r>
    <r>
      <rPr>
        <b/>
        <sz val="16"/>
        <color rgb="FFFF0000"/>
        <rFont val="Arial"/>
        <family val="2"/>
      </rPr>
      <t>*</t>
    </r>
  </si>
  <si>
    <t xml:space="preserve">En todos los casos SEGUROS SURAMERICANA, S.A. se reserva el derecho de aceptar, recargar o declinar una solicitud de seguro.    </t>
  </si>
  <si>
    <t xml:space="preserve">Autorizo a SEGUROS SURAMERICANA, S.A., su matriz, filiales y subsidiarias al tratamiento de datos personales y así mismo establecer contacto a través de cualquier medio de comunicación referente a información de cualquier índole, que se considere necesaria y/o apropiada para la prestación de los servicios, de conformidad con lo dispuesto en la normativa vigente.      </t>
  </si>
  <si>
    <t>La solicitud de seguro estará sujeta a los resultados del historial de tránsito y de la inspección del auto en caso de que no sea nuevo (0 Km), siendo este parte integral del contrato de seguros.</t>
  </si>
  <si>
    <r>
      <rPr>
        <b/>
        <sz val="16"/>
        <color theme="4"/>
        <rFont val="Arial"/>
        <family val="2"/>
      </rPr>
      <t>Canal</t>
    </r>
    <r>
      <rPr>
        <b/>
        <sz val="16"/>
        <color rgb="FF002060"/>
        <rFont val="Arial"/>
        <family val="2"/>
      </rPr>
      <t xml:space="preserve"> </t>
    </r>
  </si>
  <si>
    <t>Codigo del Corredor</t>
  </si>
  <si>
    <t xml:space="preserve">% Participación </t>
  </si>
  <si>
    <t>Firma del Corredor</t>
  </si>
  <si>
    <t>Conductor habitual</t>
  </si>
  <si>
    <t>Conductor adicional</t>
  </si>
  <si>
    <t>Sección III: Datos del conductor</t>
  </si>
  <si>
    <t>Sección IV: PORQUE PENSAMOS EN LA SEGURIDAD Y EL BIENESTAR DE LOS TUYOS, ¿DESEAS ADQUIRIR POLIZAS DE ACCIDENTES PERSONALES?</t>
  </si>
  <si>
    <t xml:space="preserve"> Sección I: Datos Generales del Asegurado</t>
  </si>
  <si>
    <r>
      <rPr>
        <b/>
        <sz val="16"/>
        <color theme="0"/>
        <rFont val="Arial"/>
        <family val="2"/>
      </rPr>
      <t>Dirección de Cobro, Avisos y Notificaciones</t>
    </r>
    <r>
      <rPr>
        <sz val="16"/>
        <color theme="0"/>
        <rFont val="Arial"/>
        <family val="2"/>
      </rPr>
      <t xml:space="preserve"> </t>
    </r>
    <r>
      <rPr>
        <sz val="16"/>
        <color rgb="FFFF0000"/>
        <rFont val="Arial"/>
        <family val="2"/>
      </rPr>
      <t>*</t>
    </r>
    <r>
      <rPr>
        <sz val="16"/>
        <color theme="0"/>
        <rFont val="Arial"/>
        <family val="2"/>
      </rPr>
      <t xml:space="preserve">      </t>
    </r>
    <r>
      <rPr>
        <i/>
        <sz val="10"/>
        <color theme="0"/>
        <rFont val="Arial"/>
        <family val="2"/>
      </rPr>
      <t>correo electrónico</t>
    </r>
  </si>
  <si>
    <r>
      <t xml:space="preserve">¿Es usted una persona políticamente expuesta? </t>
    </r>
    <r>
      <rPr>
        <b/>
        <sz val="18"/>
        <color rgb="FFFF0000"/>
        <rFont val="Arial"/>
        <family val="2"/>
      </rPr>
      <t>*</t>
    </r>
    <r>
      <rPr>
        <b/>
        <sz val="18"/>
        <color theme="0"/>
        <rFont val="Arial"/>
        <family val="2"/>
      </rPr>
      <t xml:space="preserve">                   </t>
    </r>
    <r>
      <rPr>
        <b/>
        <i/>
        <sz val="14"/>
        <color theme="0"/>
        <rFont val="Arial"/>
        <family val="2"/>
      </rPr>
      <t>Seleccione del menú Si/No</t>
    </r>
  </si>
  <si>
    <r>
      <t xml:space="preserve">¿Es usted familiar cercano o colaborador estrecho de un PEP? </t>
    </r>
    <r>
      <rPr>
        <b/>
        <sz val="18"/>
        <color rgb="FFFF0000"/>
        <rFont val="Arial"/>
        <family val="2"/>
      </rPr>
      <t>*</t>
    </r>
    <r>
      <rPr>
        <b/>
        <sz val="18"/>
        <color theme="0"/>
        <rFont val="Arial"/>
        <family val="2"/>
      </rPr>
      <t xml:space="preserve">                          </t>
    </r>
    <r>
      <rPr>
        <b/>
        <i/>
        <sz val="14"/>
        <color theme="0"/>
        <rFont val="Arial"/>
        <family val="2"/>
      </rPr>
      <t>Seleccione del menú Si/No</t>
    </r>
  </si>
  <si>
    <t>Uso</t>
  </si>
  <si>
    <t>SOLICITUD DE AUTOMÓVIL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</si>
</sst>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B/.&quot;#,##0.00_);[Red]\(&quot;B/.&quot;#,##0.00\)"/>
    <numFmt numFmtId="165" formatCode="_-* #,##0_-;\-* #,##0_-;_-* &quot;-&quot;??_-;_-@_-"/>
    <numFmt numFmtId="166" formatCode="_-* #,##0.0_-;\-* #,##0.0_-;_-*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Arial"/>
      <family val="2"/>
    </font>
    <font>
      <sz val="8"/>
      <color theme="1"/>
      <name val="Calibri"/>
      <family val="2"/>
      <scheme val="minor"/>
    </font>
    <font>
      <sz val="8"/>
      <color theme="1"/>
      <name val="Arial"/>
      <family val="2"/>
    </font>
    <font>
      <b/>
      <sz val="11"/>
      <color theme="4"/>
      <name val="Arial"/>
      <family val="2"/>
    </font>
    <font>
      <b/>
      <sz val="11"/>
      <color theme="4"/>
      <name val="Calibri"/>
      <family val="2"/>
      <scheme val="minor"/>
    </font>
    <font>
      <sz val="11"/>
      <color theme="4"/>
      <name val="Calibri"/>
      <family val="2"/>
      <scheme val="minor"/>
    </font>
    <font>
      <sz val="10"/>
      <color theme="4"/>
      <name val="Arial"/>
      <family val="2"/>
    </font>
    <font>
      <sz val="11"/>
      <name val="Calibri"/>
      <family val="2"/>
    </font>
    <font>
      <sz val="20"/>
      <name val="Calibri"/>
      <family val="2"/>
      <scheme val="minor"/>
    </font>
    <font>
      <sz val="11"/>
      <color theme="4"/>
      <name val="Arial"/>
      <family val="2"/>
    </font>
    <font>
      <sz val="8"/>
      <color theme="4"/>
      <name val="Arial"/>
      <family val="2"/>
    </font>
    <font>
      <u/>
      <sz val="11"/>
      <color theme="10"/>
      <name val="Calibri"/>
      <family val="2"/>
      <scheme val="minor"/>
    </font>
    <font>
      <sz val="10"/>
      <name val="Arial"/>
      <family val="2"/>
    </font>
    <font>
      <sz val="10"/>
      <color theme="1"/>
      <name val="Calibri"/>
      <family val="2"/>
    </font>
    <font>
      <sz val="9"/>
      <color theme="1"/>
      <name val="Calibri"/>
      <family val="2"/>
    </font>
    <font>
      <sz val="8"/>
      <color rgb="FF212121"/>
      <name val="Arial"/>
      <family val="2"/>
    </font>
    <font>
      <sz val="11"/>
      <color theme="1"/>
      <name val="Calibri"/>
      <family val="2"/>
    </font>
    <font>
      <b/>
      <sz val="11"/>
      <color theme="0"/>
      <name val="Calibri"/>
      <family val="2"/>
      <scheme val="minor"/>
    </font>
    <font>
      <b/>
      <sz val="16"/>
      <color theme="4"/>
      <name val="Arial"/>
      <family val="2"/>
    </font>
    <font>
      <b/>
      <sz val="16"/>
      <color rgb="FFFF0000"/>
      <name val="Arial"/>
      <family val="2"/>
    </font>
    <font>
      <sz val="16"/>
      <color theme="1"/>
      <name val="Arial"/>
      <family val="2"/>
    </font>
    <font>
      <sz val="16"/>
      <color theme="4"/>
      <name val="Arial"/>
      <family val="2"/>
    </font>
    <font>
      <sz val="16"/>
      <color theme="1"/>
      <name val="Calibri"/>
      <family val="2"/>
      <scheme val="minor"/>
    </font>
    <font>
      <b/>
      <sz val="16"/>
      <color theme="1"/>
      <name val="Arial"/>
      <family val="2"/>
    </font>
    <font>
      <b/>
      <sz val="20"/>
      <color theme="4"/>
      <name val="Arial"/>
      <family val="2"/>
    </font>
    <font>
      <sz val="18"/>
      <color theme="4"/>
      <name val="Arial"/>
      <family val="2"/>
    </font>
    <font>
      <sz val="18"/>
      <color theme="1"/>
      <name val="Calibri"/>
      <family val="2"/>
      <scheme val="minor"/>
    </font>
    <font>
      <b/>
      <sz val="18"/>
      <color theme="0"/>
      <name val="Arial"/>
      <family val="2"/>
    </font>
    <font>
      <b/>
      <sz val="18"/>
      <color rgb="FFFF0000"/>
      <name val="Arial"/>
      <family val="2"/>
    </font>
    <font>
      <b/>
      <sz val="18"/>
      <color theme="4"/>
      <name val="Arial"/>
      <family val="2"/>
    </font>
    <font>
      <sz val="16"/>
      <color theme="4"/>
      <name val="Calibri"/>
      <family val="2"/>
      <scheme val="minor"/>
    </font>
    <font>
      <sz val="18"/>
      <color theme="1"/>
      <name val="Arial"/>
      <family val="2"/>
    </font>
    <font>
      <sz val="16"/>
      <color rgb="FFFF0000"/>
      <name val="Arial"/>
      <family val="2"/>
    </font>
    <font>
      <b/>
      <sz val="16"/>
      <color rgb="FF002060"/>
      <name val="Arial"/>
      <family val="2"/>
    </font>
    <font>
      <sz val="11"/>
      <color theme="0"/>
      <name val="Arial"/>
      <family val="2"/>
    </font>
    <font>
      <b/>
      <i/>
      <sz val="14"/>
      <color theme="0"/>
      <name val="Arial"/>
      <family val="2"/>
    </font>
    <font>
      <sz val="16"/>
      <color rgb="FF000080"/>
      <name val="Arial"/>
      <family val="2"/>
    </font>
    <font>
      <sz val="16"/>
      <color theme="0"/>
      <name val="Arial"/>
      <family val="2"/>
    </font>
    <font>
      <i/>
      <sz val="10"/>
      <color theme="4"/>
      <name val="Arial"/>
      <family val="2"/>
    </font>
    <font>
      <sz val="10"/>
      <color theme="0"/>
      <name val="Arial"/>
      <family val="2"/>
    </font>
    <font>
      <u/>
      <sz val="16"/>
      <color theme="4"/>
      <name val="Arial"/>
      <family val="2"/>
    </font>
    <font>
      <i/>
      <sz val="14"/>
      <color theme="4"/>
      <name val="Arial"/>
      <family val="2"/>
    </font>
    <font>
      <sz val="16"/>
      <color rgb="FFFF0000"/>
      <name val="Calibri"/>
      <family val="2"/>
      <scheme val="minor"/>
    </font>
    <font>
      <sz val="16"/>
      <color theme="0"/>
      <name val="Calibri"/>
      <family val="2"/>
      <scheme val="minor"/>
    </font>
    <font>
      <b/>
      <sz val="18"/>
      <color theme="4"/>
      <name val="Calibri"/>
      <family val="2"/>
      <scheme val="minor"/>
    </font>
    <font>
      <i/>
      <sz val="11"/>
      <color theme="4"/>
      <name val="Arial"/>
      <family val="2"/>
    </font>
    <font>
      <i/>
      <sz val="11"/>
      <color theme="1"/>
      <name val="Arial"/>
      <family val="2"/>
    </font>
    <font>
      <sz val="11"/>
      <color rgb="FFFF0000"/>
      <name val="Calibri"/>
      <family val="2"/>
      <scheme val="minor"/>
    </font>
    <font>
      <i/>
      <sz val="11"/>
      <color theme="1"/>
      <name val="Calibri"/>
      <family val="2"/>
      <scheme val="minor"/>
    </font>
    <font>
      <b/>
      <sz val="11"/>
      <color theme="0"/>
      <name val="Arial"/>
      <family val="2"/>
    </font>
    <font>
      <i/>
      <sz val="11"/>
      <color theme="0"/>
      <name val="Arial"/>
      <family val="2"/>
    </font>
    <font>
      <i/>
      <sz val="11"/>
      <color rgb="FFFF0000"/>
      <name val="Arial"/>
      <family val="2"/>
    </font>
    <font>
      <i/>
      <sz val="16"/>
      <color rgb="FFFF0000"/>
      <name val="Arial"/>
      <family val="2"/>
    </font>
    <font>
      <i/>
      <sz val="11"/>
      <color rgb="FFFF0000"/>
      <name val="Calibri"/>
      <family val="2"/>
      <scheme val="minor"/>
    </font>
    <font>
      <b/>
      <sz val="16"/>
      <color theme="0"/>
      <name val="Arial"/>
      <family val="2"/>
    </font>
    <font>
      <i/>
      <sz val="10"/>
      <color theme="0"/>
      <name val="Arial"/>
      <family val="2"/>
    </font>
    <font>
      <b/>
      <sz val="20"/>
      <color theme="0"/>
      <name val="Arial"/>
      <family val="2"/>
    </font>
    <font>
      <sz val="18"/>
      <color theme="0"/>
      <name val="Arial"/>
      <family val="2"/>
    </font>
  </fonts>
  <fills count="22">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9" tint="-0.499984740745262"/>
        <bgColor indexed="64"/>
      </patternFill>
    </fill>
    <fill>
      <patternFill patternType="solid">
        <fgColor rgb="FF7030A0"/>
        <bgColor indexed="64"/>
      </patternFill>
    </fill>
    <fill>
      <patternFill patternType="solid">
        <fgColor theme="4"/>
        <bgColor indexed="64"/>
      </patternFill>
    </fill>
    <fill>
      <patternFill patternType="solid">
        <fgColor theme="0" tint="-4.9989318521683403E-2"/>
        <bgColor indexed="64"/>
      </patternFill>
    </fill>
    <fill>
      <patternFill patternType="solid">
        <fgColor theme="4"/>
        <bgColor theme="4"/>
      </patternFill>
    </fill>
    <fill>
      <patternFill patternType="solid">
        <fgColor indexed="65"/>
        <bgColor indexed="64"/>
      </patternFill>
    </fill>
    <fill>
      <patternFill patternType="solid">
        <fgColor theme="5"/>
        <bgColor indexed="64"/>
      </patternFill>
    </fill>
    <fill>
      <patternFill patternType="solid">
        <fgColor theme="0" tint="-0.14999847407452621"/>
        <bgColor indexed="64"/>
      </patternFill>
    </fill>
  </fills>
  <borders count="8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theme="9" tint="-0.499984740745262"/>
      </right>
      <top style="thin">
        <color theme="9" tint="-0.499984740745262"/>
      </top>
      <bottom style="thin">
        <color theme="9" tint="-0.499984740745262"/>
      </bottom>
      <diagonal/>
    </border>
    <border>
      <left style="thin">
        <color theme="0"/>
      </left>
      <right style="thin">
        <color theme="0"/>
      </right>
      <top style="thin">
        <color theme="0"/>
      </top>
      <bottom style="thin">
        <color theme="0"/>
      </bottom>
      <diagonal/>
    </border>
    <border>
      <left style="thin">
        <color rgb="FF002060"/>
      </left>
      <right style="thin">
        <color rgb="FF002060"/>
      </right>
      <top style="thin">
        <color rgb="FF002060"/>
      </top>
      <bottom style="thin">
        <color rgb="FF002060"/>
      </bottom>
      <diagonal/>
    </border>
    <border>
      <left style="thin">
        <color theme="0"/>
      </left>
      <right/>
      <top style="thin">
        <color theme="0"/>
      </top>
      <bottom/>
      <diagonal/>
    </border>
    <border>
      <left/>
      <right style="thin">
        <color theme="0"/>
      </right>
      <top style="thin">
        <color theme="0"/>
      </top>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2"/>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0" tint="-4.9989318521683403E-2"/>
      </left>
      <right/>
      <top/>
      <bottom/>
      <diagonal/>
    </border>
    <border>
      <left style="thin">
        <color theme="0" tint="-4.9989318521683403E-2"/>
      </left>
      <right/>
      <top/>
      <bottom style="thin">
        <color theme="0"/>
      </bottom>
      <diagonal/>
    </border>
    <border>
      <left/>
      <right style="thin">
        <color theme="0" tint="-4.9989318521683403E-2"/>
      </right>
      <top/>
      <bottom style="thin">
        <color theme="0"/>
      </bottom>
      <diagonal/>
    </border>
    <border>
      <left style="thin">
        <color indexed="64"/>
      </left>
      <right/>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right/>
      <top/>
      <bottom style="thin">
        <color theme="4"/>
      </bottom>
      <diagonal/>
    </border>
    <border>
      <left style="thin">
        <color indexed="64"/>
      </left>
      <right/>
      <top style="thin">
        <color indexed="64"/>
      </top>
      <bottom style="thin">
        <color indexed="64"/>
      </bottom>
      <diagonal/>
    </border>
    <border>
      <left style="thin">
        <color rgb="FF002060"/>
      </left>
      <right style="thin">
        <color rgb="FF002060"/>
      </right>
      <top style="thin">
        <color rgb="FF002060"/>
      </top>
      <bottom/>
      <diagonal/>
    </border>
    <border>
      <left style="thin">
        <color indexed="64"/>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theme="0"/>
      </left>
      <right/>
      <top/>
      <bottom style="thin">
        <color theme="4"/>
      </bottom>
      <diagonal/>
    </border>
    <border>
      <left/>
      <right style="thin">
        <color theme="0" tint="-4.9989318521683403E-2"/>
      </right>
      <top/>
      <bottom/>
      <diagonal/>
    </border>
    <border>
      <left style="thin">
        <color rgb="FF002060"/>
      </left>
      <right style="thin">
        <color rgb="FF002060"/>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theme="0" tint="-0.14999847407452621"/>
      </left>
      <right style="thin">
        <color theme="0"/>
      </right>
      <top style="thin">
        <color theme="0"/>
      </top>
      <bottom style="thin">
        <color theme="0"/>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style="thin">
        <color theme="0"/>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op>
      <bottom style="thin">
        <color theme="0" tint="-0.14999847407452621"/>
      </bottom>
      <diagonal/>
    </border>
    <border>
      <left/>
      <right/>
      <top style="thin">
        <color theme="0"/>
      </top>
      <bottom style="thin">
        <color theme="0" tint="-0.14999847407452621"/>
      </bottom>
      <diagonal/>
    </border>
    <border>
      <left style="thin">
        <color theme="0"/>
      </left>
      <right/>
      <top style="thin">
        <color theme="0" tint="-0.14999847407452621"/>
      </top>
      <bottom style="thin">
        <color theme="0"/>
      </bottom>
      <diagonal/>
    </border>
    <border>
      <left/>
      <right/>
      <top style="thin">
        <color theme="0" tint="-0.14999847407452621"/>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indexed="64"/>
      </right>
      <top/>
      <bottom/>
      <diagonal/>
    </border>
    <border>
      <left/>
      <right style="thin">
        <color theme="0" tint="-0.14999847407452621"/>
      </right>
      <top style="thin">
        <color theme="0" tint="-0.14999847407452621"/>
      </top>
      <bottom style="thin">
        <color theme="0" tint="-0.14999847407452621"/>
      </bottom>
      <diagonal/>
    </border>
    <border>
      <left style="thin">
        <color theme="0"/>
      </left>
      <right/>
      <top style="thin">
        <color theme="0" tint="-0.14999847407452621"/>
      </top>
      <bottom/>
      <diagonal/>
    </border>
    <border>
      <left/>
      <right/>
      <top style="thin">
        <color theme="0" tint="-0.14999847407452621"/>
      </top>
      <bottom/>
      <diagonal/>
    </border>
    <border>
      <left/>
      <right style="thin">
        <color theme="0"/>
      </right>
      <top style="thin">
        <color theme="0" tint="-0.14999847407452621"/>
      </top>
      <bottom/>
      <diagonal/>
    </border>
    <border>
      <left/>
      <right style="thin">
        <color theme="0" tint="-0.14999847407452621"/>
      </right>
      <top/>
      <bottom/>
      <diagonal/>
    </border>
    <border>
      <left/>
      <right style="thin">
        <color theme="0"/>
      </right>
      <top/>
      <bottom style="thin">
        <color theme="0"/>
      </bottom>
      <diagonal/>
    </border>
    <border>
      <left style="thin">
        <color theme="0" tint="-0.14999847407452621"/>
      </left>
      <right/>
      <top style="thin">
        <color theme="0" tint="-0.14999847407452621"/>
      </top>
      <bottom/>
      <diagonal/>
    </border>
    <border>
      <left style="thin">
        <color theme="0"/>
      </left>
      <right/>
      <top/>
      <bottom style="thin">
        <color theme="0"/>
      </bottom>
      <diagonal/>
    </border>
    <border>
      <left/>
      <right style="thin">
        <color theme="0" tint="-4.9989318521683403E-2"/>
      </right>
      <top style="thin">
        <color theme="0"/>
      </top>
      <bottom/>
      <diagonal/>
    </border>
    <border>
      <left/>
      <right style="thin">
        <color theme="0" tint="-0.14999847407452621"/>
      </right>
      <top style="thin">
        <color theme="0"/>
      </top>
      <bottom/>
      <diagonal/>
    </border>
    <border>
      <left/>
      <right style="thin">
        <color theme="0" tint="-0.14999847407452621"/>
      </right>
      <top style="thin">
        <color theme="0" tint="-0.14999847407452621"/>
      </top>
      <bottom/>
      <diagonal/>
    </border>
    <border>
      <left style="thin">
        <color theme="0" tint="-0.14999847407452621"/>
      </left>
      <right/>
      <top style="thin">
        <color theme="0"/>
      </top>
      <bottom/>
      <diagonal/>
    </border>
    <border>
      <left/>
      <right style="thin">
        <color theme="0"/>
      </right>
      <top/>
      <bottom style="thin">
        <color theme="4"/>
      </bottom>
      <diagonal/>
    </border>
    <border>
      <left style="thin">
        <color theme="0"/>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op>
      <bottom style="thin">
        <color theme="0"/>
      </bottom>
      <diagonal/>
    </border>
    <border>
      <left/>
      <right style="thin">
        <color theme="0"/>
      </right>
      <top style="thin">
        <color theme="0" tint="-0.14999847407452621"/>
      </top>
      <bottom style="thin">
        <color theme="0"/>
      </bottom>
      <diagonal/>
    </border>
    <border>
      <left/>
      <right style="thin">
        <color theme="0" tint="-0.14999847407452621"/>
      </right>
      <top style="thin">
        <color theme="0"/>
      </top>
      <bottom style="thin">
        <color theme="0" tint="-0.14999847407452621"/>
      </bottom>
      <diagonal/>
    </border>
    <border>
      <left style="thin">
        <color theme="0" tint="-4.9989318521683403E-2"/>
      </left>
      <right/>
      <top style="thin">
        <color theme="0"/>
      </top>
      <bottom style="thin">
        <color theme="0" tint="-0.14999847407452621"/>
      </bottom>
      <diagonal/>
    </border>
    <border>
      <left style="thin">
        <color theme="0" tint="-4.9989318521683403E-2"/>
      </left>
      <right/>
      <top style="thin">
        <color theme="0"/>
      </top>
      <bottom style="thin">
        <color theme="0"/>
      </bottom>
      <diagonal/>
    </border>
    <border>
      <left style="thin">
        <color theme="0"/>
      </left>
      <right style="thin">
        <color theme="0" tint="-4.9989318521683403E-2"/>
      </right>
      <top style="thin">
        <color theme="0"/>
      </top>
      <bottom style="thin">
        <color theme="0"/>
      </bottom>
      <diagonal/>
    </border>
    <border>
      <left style="thin">
        <color theme="0" tint="-4.9989318521683403E-2"/>
      </left>
      <right style="thin">
        <color theme="0" tint="-4.9989318521683403E-2"/>
      </right>
      <top style="thin">
        <color theme="0"/>
      </top>
      <bottom style="thin">
        <color theme="0"/>
      </bottom>
      <diagonal/>
    </border>
    <border>
      <left/>
      <right style="thin">
        <color theme="2"/>
      </right>
      <top style="thin">
        <color theme="0"/>
      </top>
      <bottom/>
      <diagonal/>
    </border>
  </borders>
  <cellStyleXfs count="4">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18" fillId="0" borderId="0"/>
  </cellStyleXfs>
  <cellXfs count="619">
    <xf numFmtId="0" fontId="0" fillId="0" borderId="0" xfId="0"/>
    <xf numFmtId="0" fontId="0" fillId="0" borderId="7" xfId="0" applyBorder="1"/>
    <xf numFmtId="0" fontId="0" fillId="0" borderId="6" xfId="0" applyBorder="1"/>
    <xf numFmtId="0" fontId="2" fillId="0" borderId="6"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4" borderId="0" xfId="0" applyFill="1"/>
    <xf numFmtId="0" fontId="0" fillId="5" borderId="6" xfId="0" applyFill="1" applyBorder="1"/>
    <xf numFmtId="0" fontId="0" fillId="6" borderId="6" xfId="0" applyFill="1" applyBorder="1"/>
    <xf numFmtId="0" fontId="0" fillId="7" borderId="6" xfId="0" applyFill="1" applyBorder="1"/>
    <xf numFmtId="0" fontId="0" fillId="8" borderId="6" xfId="0" applyFill="1" applyBorder="1"/>
    <xf numFmtId="0" fontId="0" fillId="9" borderId="6" xfId="0" applyFill="1" applyBorder="1"/>
    <xf numFmtId="0" fontId="0" fillId="10" borderId="6" xfId="0" applyFill="1" applyBorder="1"/>
    <xf numFmtId="0" fontId="0" fillId="11" borderId="6" xfId="0" applyFill="1" applyBorder="1"/>
    <xf numFmtId="0" fontId="0" fillId="12" borderId="6" xfId="0" applyFill="1" applyBorder="1"/>
    <xf numFmtId="0" fontId="0" fillId="13" borderId="6" xfId="0" applyFill="1" applyBorder="1"/>
    <xf numFmtId="0" fontId="0" fillId="14" borderId="6" xfId="0" applyFill="1" applyBorder="1"/>
    <xf numFmtId="0" fontId="0" fillId="2" borderId="6" xfId="0" applyFill="1" applyBorder="1"/>
    <xf numFmtId="0" fontId="0" fillId="15" borderId="6" xfId="0" applyFill="1" applyBorder="1"/>
    <xf numFmtId="0" fontId="0" fillId="0" borderId="0" xfId="0" applyAlignment="1">
      <alignment horizontal="left" indent="1"/>
    </xf>
    <xf numFmtId="0" fontId="0" fillId="10" borderId="8" xfId="0" applyFill="1" applyBorder="1"/>
    <xf numFmtId="0" fontId="6" fillId="4" borderId="0" xfId="0" applyFont="1" applyFill="1"/>
    <xf numFmtId="0" fontId="0" fillId="0" borderId="14" xfId="0" applyBorder="1"/>
    <xf numFmtId="0" fontId="2" fillId="0" borderId="14" xfId="0" applyFont="1" applyBorder="1"/>
    <xf numFmtId="0" fontId="5" fillId="0" borderId="6" xfId="0" applyFont="1" applyBorder="1"/>
    <xf numFmtId="0" fontId="4" fillId="0" borderId="0" xfId="0" applyFont="1"/>
    <xf numFmtId="0" fontId="5" fillId="0" borderId="14" xfId="0" applyFont="1" applyBorder="1"/>
    <xf numFmtId="0" fontId="2" fillId="0" borderId="14"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vertical="center"/>
    </xf>
    <xf numFmtId="0" fontId="5" fillId="0" borderId="6" xfId="0" applyFont="1" applyBorder="1" applyAlignment="1">
      <alignment horizontal="left"/>
    </xf>
    <xf numFmtId="0" fontId="5" fillId="0" borderId="0" xfId="0" applyFont="1"/>
    <xf numFmtId="0" fontId="4" fillId="0" borderId="0" xfId="0" applyFont="1" applyAlignment="1">
      <alignment horizontal="center"/>
    </xf>
    <xf numFmtId="0" fontId="4" fillId="0" borderId="6" xfId="0" applyFont="1" applyBorder="1"/>
    <xf numFmtId="0" fontId="4" fillId="0" borderId="6" xfId="0" applyFont="1" applyBorder="1" applyAlignment="1">
      <alignment horizontal="left"/>
    </xf>
    <xf numFmtId="164" fontId="4" fillId="0" borderId="6" xfId="0" applyNumberFormat="1" applyFont="1" applyBorder="1" applyAlignment="1">
      <alignment horizontal="left"/>
    </xf>
    <xf numFmtId="164" fontId="4" fillId="0" borderId="6" xfId="0" applyNumberFormat="1" applyFont="1" applyBorder="1"/>
    <xf numFmtId="0" fontId="4" fillId="0" borderId="14" xfId="0" applyFont="1" applyBorder="1"/>
    <xf numFmtId="0" fontId="4" fillId="0" borderId="21" xfId="0" applyFont="1" applyBorder="1"/>
    <xf numFmtId="0" fontId="4" fillId="3" borderId="6" xfId="0" applyFont="1" applyFill="1" applyBorder="1" applyAlignment="1">
      <alignment horizontal="left" vertical="top"/>
    </xf>
    <xf numFmtId="0" fontId="13" fillId="0" borderId="0" xfId="0" applyFont="1"/>
    <xf numFmtId="0" fontId="5" fillId="0" borderId="8" xfId="0" applyFont="1" applyBorder="1"/>
    <xf numFmtId="0" fontId="4" fillId="0" borderId="6" xfId="0" applyFont="1" applyBorder="1" applyAlignment="1">
      <alignment horizontal="left" vertical="top"/>
    </xf>
    <xf numFmtId="0" fontId="4" fillId="0" borderId="8" xfId="0" applyFont="1" applyBorder="1"/>
    <xf numFmtId="0" fontId="11" fillId="0" borderId="0" xfId="0" applyFont="1"/>
    <xf numFmtId="0" fontId="4" fillId="0" borderId="7" xfId="0" applyFont="1" applyBorder="1" applyAlignment="1">
      <alignment horizontal="left"/>
    </xf>
    <xf numFmtId="0" fontId="4" fillId="0" borderId="25" xfId="0" applyFont="1" applyBorder="1"/>
    <xf numFmtId="0" fontId="11" fillId="0" borderId="27" xfId="0" applyFont="1" applyBorder="1" applyAlignment="1">
      <alignment wrapText="1"/>
    </xf>
    <xf numFmtId="0" fontId="11" fillId="0" borderId="26" xfId="0" applyFont="1" applyBorder="1" applyAlignment="1">
      <alignment wrapText="1"/>
    </xf>
    <xf numFmtId="0" fontId="11" fillId="0" borderId="0" xfId="0" applyFont="1" applyAlignment="1">
      <alignment wrapText="1"/>
    </xf>
    <xf numFmtId="0" fontId="11" fillId="13" borderId="26" xfId="0" applyFont="1" applyFill="1" applyBorder="1" applyAlignment="1">
      <alignment horizontal="left" wrapText="1"/>
    </xf>
    <xf numFmtId="0" fontId="11" fillId="13" borderId="26" xfId="0" applyFont="1" applyFill="1" applyBorder="1" applyAlignment="1">
      <alignment wrapText="1"/>
    </xf>
    <xf numFmtId="0" fontId="11" fillId="0" borderId="26" xfId="0" applyFont="1" applyBorder="1" applyAlignment="1">
      <alignment horizontal="left" wrapText="1"/>
    </xf>
    <xf numFmtId="0" fontId="10" fillId="0" borderId="26" xfId="0" applyFont="1" applyBorder="1" applyAlignment="1">
      <alignment horizontal="left" wrapText="1"/>
    </xf>
    <xf numFmtId="0" fontId="10" fillId="0" borderId="26" xfId="0" applyFont="1" applyBorder="1" applyAlignment="1">
      <alignment horizontal="center" wrapText="1"/>
    </xf>
    <xf numFmtId="0" fontId="11" fillId="0" borderId="26" xfId="0" applyFont="1" applyBorder="1" applyAlignment="1">
      <alignment horizontal="left" vertical="center" wrapText="1"/>
    </xf>
    <xf numFmtId="0" fontId="11" fillId="0" borderId="26" xfId="0" applyFont="1" applyBorder="1" applyAlignment="1">
      <alignment vertical="center" wrapText="1"/>
    </xf>
    <xf numFmtId="0" fontId="11" fillId="0" borderId="28" xfId="0" applyFont="1" applyBorder="1" applyAlignment="1">
      <alignment wrapText="1"/>
    </xf>
    <xf numFmtId="0" fontId="11" fillId="0" borderId="0" xfId="0" applyFont="1" applyAlignment="1">
      <alignment horizontal="center"/>
    </xf>
    <xf numFmtId="0" fontId="15" fillId="0" borderId="0" xfId="0" applyFont="1" applyAlignment="1">
      <alignment wrapText="1"/>
    </xf>
    <xf numFmtId="0" fontId="2" fillId="0" borderId="0" xfId="0" applyFont="1"/>
    <xf numFmtId="0" fontId="11" fillId="13" borderId="29" xfId="0" applyFont="1" applyFill="1" applyBorder="1" applyAlignment="1">
      <alignment wrapText="1"/>
    </xf>
    <xf numFmtId="0" fontId="2" fillId="0" borderId="6" xfId="0" applyFont="1" applyBorder="1" applyAlignment="1">
      <alignment horizontal="left"/>
    </xf>
    <xf numFmtId="0" fontId="0" fillId="0" borderId="6" xfId="0" applyBorder="1" applyAlignment="1" applyProtection="1">
      <alignment horizontal="left"/>
      <protection locked="0"/>
    </xf>
    <xf numFmtId="0" fontId="0" fillId="0" borderId="6" xfId="0" applyBorder="1" applyAlignment="1">
      <alignment horizontal="left"/>
    </xf>
    <xf numFmtId="164" fontId="0" fillId="0" borderId="6" xfId="0" applyNumberFormat="1" applyBorder="1" applyAlignment="1">
      <alignment horizontal="left"/>
    </xf>
    <xf numFmtId="0" fontId="2" fillId="0" borderId="8" xfId="0" applyFont="1" applyBorder="1"/>
    <xf numFmtId="0" fontId="0" fillId="0" borderId="26" xfId="0" applyBorder="1"/>
    <xf numFmtId="0" fontId="19" fillId="0" borderId="0" xfId="3" applyFont="1" applyAlignment="1">
      <alignment vertical="center"/>
    </xf>
    <xf numFmtId="0" fontId="19" fillId="0" borderId="0" xfId="3" applyFont="1" applyAlignment="1" applyProtection="1">
      <alignment vertical="center"/>
      <protection hidden="1"/>
    </xf>
    <xf numFmtId="0" fontId="20" fillId="0" borderId="0" xfId="3" applyFont="1" applyAlignment="1">
      <alignment vertical="center"/>
    </xf>
    <xf numFmtId="0" fontId="4" fillId="0" borderId="31" xfId="0" applyFont="1" applyBorder="1"/>
    <xf numFmtId="0" fontId="19" fillId="0" borderId="6" xfId="3" applyFont="1" applyBorder="1" applyAlignment="1">
      <alignment vertical="center"/>
    </xf>
    <xf numFmtId="0" fontId="19" fillId="0" borderId="6" xfId="3" applyFont="1" applyBorder="1" applyAlignment="1" applyProtection="1">
      <alignment vertical="center"/>
      <protection hidden="1"/>
    </xf>
    <xf numFmtId="0" fontId="20" fillId="0" borderId="6" xfId="3" applyFont="1" applyBorder="1" applyAlignment="1">
      <alignment vertical="center"/>
    </xf>
    <xf numFmtId="0" fontId="0" fillId="0" borderId="32" xfId="0" applyBorder="1" applyAlignment="1">
      <alignment wrapText="1"/>
    </xf>
    <xf numFmtId="0" fontId="0" fillId="0" borderId="32" xfId="0" applyBorder="1"/>
    <xf numFmtId="0" fontId="0" fillId="0" borderId="6" xfId="0" applyBorder="1" applyAlignment="1">
      <alignment horizontal="left" vertical="center" wrapText="1"/>
    </xf>
    <xf numFmtId="0" fontId="8" fillId="13" borderId="32" xfId="0" applyFont="1" applyFill="1" applyBorder="1" applyAlignment="1">
      <alignment wrapText="1"/>
    </xf>
    <xf numFmtId="0" fontId="7" fillId="13" borderId="14" xfId="0" applyFont="1" applyFill="1" applyBorder="1" applyAlignment="1">
      <alignment wrapText="1"/>
    </xf>
    <xf numFmtId="0" fontId="7" fillId="13" borderId="14" xfId="0" applyFont="1" applyFill="1" applyBorder="1" applyAlignment="1">
      <alignment vertical="center" wrapText="1"/>
    </xf>
    <xf numFmtId="0" fontId="21" fillId="13" borderId="6" xfId="0" applyFont="1" applyFill="1" applyBorder="1" applyAlignment="1">
      <alignment wrapText="1"/>
    </xf>
    <xf numFmtId="0" fontId="11" fillId="0" borderId="26" xfId="0" applyFont="1" applyBorder="1"/>
    <xf numFmtId="0" fontId="5" fillId="0" borderId="6" xfId="0" applyFont="1" applyBorder="1" applyAlignment="1">
      <alignment horizontal="center"/>
    </xf>
    <xf numFmtId="0" fontId="4" fillId="0" borderId="6" xfId="0" applyFont="1" applyBorder="1" applyAlignment="1">
      <alignment vertical="center"/>
    </xf>
    <xf numFmtId="0" fontId="0" fillId="0" borderId="0" xfId="0"/>
    <xf numFmtId="0" fontId="0" fillId="0" borderId="0" xfId="0"/>
    <xf numFmtId="165" fontId="23" fillId="18" borderId="6" xfId="1" applyNumberFormat="1" applyFont="1" applyFill="1" applyBorder="1" applyAlignment="1">
      <alignment horizontal="center" vertical="center"/>
    </xf>
    <xf numFmtId="2" fontId="0" fillId="0" borderId="6" xfId="0" applyNumberFormat="1" applyBorder="1"/>
    <xf numFmtId="0" fontId="4" fillId="19" borderId="6" xfId="0" applyFont="1" applyFill="1" applyBorder="1"/>
    <xf numFmtId="43" fontId="0" fillId="0" borderId="6" xfId="1" applyNumberFormat="1" applyFont="1" applyBorder="1"/>
    <xf numFmtId="43" fontId="0" fillId="0" borderId="0" xfId="0" applyNumberFormat="1"/>
    <xf numFmtId="43" fontId="0" fillId="0" borderId="26" xfId="1" applyFont="1" applyFill="1" applyBorder="1"/>
    <xf numFmtId="0" fontId="5" fillId="0" borderId="26" xfId="0" applyFont="1" applyBorder="1" applyAlignment="1">
      <alignment horizontal="center"/>
    </xf>
    <xf numFmtId="0" fontId="4" fillId="0" borderId="26" xfId="0" applyFont="1" applyBorder="1"/>
    <xf numFmtId="0" fontId="22" fillId="0" borderId="26" xfId="0" applyFont="1" applyBorder="1" applyAlignment="1">
      <alignment vertical="center"/>
    </xf>
    <xf numFmtId="43" fontId="0" fillId="0" borderId="33" xfId="1" applyNumberFormat="1" applyFont="1" applyFill="1" applyBorder="1"/>
    <xf numFmtId="165" fontId="23" fillId="18" borderId="31" xfId="1" applyNumberFormat="1" applyFont="1" applyFill="1" applyBorder="1" applyAlignment="1">
      <alignment horizontal="center" vertical="center"/>
    </xf>
    <xf numFmtId="43" fontId="0" fillId="0" borderId="31" xfId="1" applyNumberFormat="1" applyFont="1" applyBorder="1"/>
    <xf numFmtId="165" fontId="23" fillId="18" borderId="26" xfId="1" applyNumberFormat="1" applyFont="1" applyFill="1" applyBorder="1" applyAlignment="1">
      <alignment horizontal="center" vertical="center"/>
    </xf>
    <xf numFmtId="166" fontId="0" fillId="0" borderId="26" xfId="1" applyNumberFormat="1" applyFont="1" applyFill="1" applyBorder="1"/>
    <xf numFmtId="0" fontId="4" fillId="0" borderId="0" xfId="0" applyFont="1" applyBorder="1"/>
    <xf numFmtId="0" fontId="16" fillId="4" borderId="0" xfId="0" applyFont="1" applyFill="1" applyBorder="1" applyAlignment="1">
      <alignment wrapText="1"/>
    </xf>
    <xf numFmtId="0" fontId="0" fillId="0" borderId="0" xfId="0"/>
    <xf numFmtId="0" fontId="0" fillId="0" borderId="0" xfId="0"/>
    <xf numFmtId="0" fontId="12" fillId="0" borderId="26" xfId="0" applyFont="1" applyBorder="1" applyAlignment="1">
      <alignment horizontal="center" vertical="center"/>
    </xf>
    <xf numFmtId="0" fontId="12" fillId="0" borderId="26" xfId="0" applyFont="1" applyBorder="1" applyAlignment="1">
      <alignment vertical="center" wrapText="1"/>
    </xf>
    <xf numFmtId="0" fontId="12" fillId="4" borderId="26" xfId="0" applyFont="1" applyFill="1" applyBorder="1" applyAlignment="1">
      <alignment horizontal="center" vertical="center"/>
    </xf>
    <xf numFmtId="0" fontId="12" fillId="4" borderId="26" xfId="0" applyFont="1" applyFill="1" applyBorder="1" applyAlignment="1">
      <alignment vertical="center" wrapText="1"/>
    </xf>
    <xf numFmtId="0" fontId="0" fillId="0" borderId="0" xfId="0"/>
    <xf numFmtId="0" fontId="37" fillId="4" borderId="0" xfId="0" applyFont="1" applyFill="1"/>
    <xf numFmtId="0" fontId="3" fillId="0" borderId="0" xfId="0" applyFont="1"/>
    <xf numFmtId="0" fontId="0" fillId="0" borderId="0" xfId="0" applyAlignment="1">
      <alignment vertical="center"/>
    </xf>
    <xf numFmtId="0" fontId="4" fillId="0" borderId="0" xfId="0" applyFont="1" applyBorder="1" applyAlignment="1">
      <alignment horizontal="left"/>
    </xf>
    <xf numFmtId="0" fontId="0" fillId="0" borderId="45" xfId="0" applyFill="1" applyBorder="1"/>
    <xf numFmtId="0" fontId="3" fillId="0" borderId="0" xfId="0" applyFont="1" applyBorder="1"/>
    <xf numFmtId="0" fontId="3" fillId="0" borderId="0" xfId="0" applyFont="1" applyBorder="1" applyAlignment="1">
      <alignment horizontal="left"/>
    </xf>
    <xf numFmtId="0" fontId="3" fillId="0" borderId="0" xfId="0" applyFont="1" applyFill="1" applyBorder="1"/>
    <xf numFmtId="0" fontId="0" fillId="0" borderId="0" xfId="0"/>
    <xf numFmtId="0" fontId="6" fillId="0" borderId="0" xfId="0" applyFont="1"/>
    <xf numFmtId="0" fontId="38" fillId="21" borderId="48" xfId="0" applyFont="1" applyFill="1" applyBorder="1" applyAlignment="1" applyProtection="1">
      <alignment vertical="center"/>
      <protection hidden="1"/>
    </xf>
    <xf numFmtId="0" fontId="27" fillId="4" borderId="46" xfId="0" applyFont="1" applyFill="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4" fillId="0" borderId="7" xfId="0" applyFont="1" applyBorder="1"/>
    <xf numFmtId="0" fontId="4" fillId="0" borderId="63" xfId="0" applyFont="1" applyBorder="1"/>
    <xf numFmtId="0" fontId="27" fillId="0" borderId="54"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38" fillId="21" borderId="3" xfId="0" applyFont="1" applyFill="1" applyBorder="1" applyAlignment="1" applyProtection="1">
      <alignment horizontal="center" vertical="center"/>
      <protection hidden="1"/>
    </xf>
    <xf numFmtId="0" fontId="27" fillId="0" borderId="59" xfId="0" applyFont="1" applyBorder="1" applyAlignment="1" applyProtection="1">
      <alignment horizontal="center" vertical="center"/>
      <protection locked="0"/>
    </xf>
    <xf numFmtId="0" fontId="25" fillId="21" borderId="4" xfId="0" applyFont="1" applyFill="1" applyBorder="1" applyAlignment="1" applyProtection="1">
      <alignment vertical="center"/>
      <protection hidden="1"/>
    </xf>
    <xf numFmtId="0" fontId="25" fillId="21" borderId="0" xfId="0" applyFont="1" applyFill="1" applyAlignment="1" applyProtection="1">
      <alignment vertical="center"/>
      <protection hidden="1"/>
    </xf>
    <xf numFmtId="0" fontId="33" fillId="0" borderId="0" xfId="0" applyFont="1" applyFill="1" applyBorder="1" applyAlignment="1"/>
    <xf numFmtId="0" fontId="27" fillId="4" borderId="59" xfId="0" applyFont="1" applyFill="1" applyBorder="1" applyAlignment="1" applyProtection="1">
      <alignment horizontal="center" vertical="center" wrapText="1"/>
      <protection locked="0"/>
    </xf>
    <xf numFmtId="0" fontId="27" fillId="0" borderId="59" xfId="0" applyFont="1" applyBorder="1" applyAlignment="1" applyProtection="1">
      <alignment horizontal="center" vertical="center" wrapText="1"/>
      <protection locked="0"/>
    </xf>
    <xf numFmtId="0" fontId="38" fillId="21" borderId="3" xfId="0" applyFont="1" applyFill="1" applyBorder="1" applyAlignment="1" applyProtection="1">
      <alignment vertical="center"/>
      <protection hidden="1"/>
    </xf>
    <xf numFmtId="0" fontId="6" fillId="4" borderId="18" xfId="0" applyFont="1" applyFill="1" applyBorder="1"/>
    <xf numFmtId="0" fontId="27" fillId="4" borderId="30" xfId="0" applyFont="1" applyFill="1" applyBorder="1" applyAlignment="1" applyProtection="1">
      <alignment horizontal="center" vertical="center"/>
      <protection locked="0"/>
    </xf>
    <xf numFmtId="0" fontId="48" fillId="21" borderId="3" xfId="0" applyFont="1" applyFill="1" applyBorder="1" applyAlignment="1" applyProtection="1">
      <alignment vertical="center"/>
      <protection hidden="1"/>
    </xf>
    <xf numFmtId="0" fontId="26" fillId="4" borderId="0" xfId="0" applyFont="1" applyFill="1"/>
    <xf numFmtId="0" fontId="38" fillId="21" borderId="2" xfId="0" applyFont="1" applyFill="1" applyBorder="1" applyAlignment="1" applyProtection="1">
      <alignment vertical="center"/>
      <protection hidden="1"/>
    </xf>
    <xf numFmtId="0" fontId="33" fillId="0" borderId="0" xfId="0" applyFont="1" applyFill="1" applyBorder="1"/>
    <xf numFmtId="0" fontId="40" fillId="0" borderId="0" xfId="0" applyFont="1" applyFill="1" applyBorder="1"/>
    <xf numFmtId="0" fontId="43" fillId="0" borderId="0" xfId="0" applyFont="1" applyFill="1" applyBorder="1"/>
    <xf numFmtId="0" fontId="45" fillId="0" borderId="0" xfId="0" applyFont="1" applyFill="1" applyBorder="1" applyAlignment="1">
      <alignment horizontal="left"/>
    </xf>
    <xf numFmtId="0" fontId="43" fillId="0" borderId="0" xfId="0"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vertical="center"/>
    </xf>
    <xf numFmtId="49" fontId="43" fillId="0" borderId="0" xfId="0" applyNumberFormat="1" applyFont="1" applyFill="1" applyBorder="1" applyAlignment="1">
      <alignment horizontal="left"/>
    </xf>
    <xf numFmtId="0" fontId="43" fillId="0" borderId="0" xfId="0" applyFont="1" applyFill="1" applyBorder="1" applyAlignment="1">
      <alignment vertical="center" wrapText="1"/>
    </xf>
    <xf numFmtId="0" fontId="43" fillId="0" borderId="0" xfId="0" applyFont="1" applyFill="1" applyBorder="1" applyAlignment="1">
      <alignment wrapText="1"/>
    </xf>
    <xf numFmtId="0" fontId="43" fillId="0" borderId="0" xfId="0" applyFont="1" applyFill="1" applyBorder="1" applyAlignment="1">
      <alignment horizontal="left" vertical="center" wrapText="1"/>
    </xf>
    <xf numFmtId="0" fontId="43" fillId="0" borderId="0" xfId="0" applyFont="1" applyFill="1" applyBorder="1" applyAlignment="1">
      <alignment horizontal="center"/>
    </xf>
    <xf numFmtId="0" fontId="0" fillId="0" borderId="0" xfId="0"/>
    <xf numFmtId="0" fontId="27" fillId="4" borderId="51" xfId="0" applyFont="1" applyFill="1" applyBorder="1" applyAlignment="1" applyProtection="1">
      <alignment horizontal="center" vertical="center"/>
      <protection locked="0"/>
    </xf>
    <xf numFmtId="0" fontId="6" fillId="0" borderId="0" xfId="0" applyFont="1"/>
    <xf numFmtId="0" fontId="24" fillId="21" borderId="1" xfId="0" applyFont="1" applyFill="1" applyBorder="1" applyAlignment="1" applyProtection="1">
      <alignment vertical="center"/>
      <protection hidden="1"/>
    </xf>
    <xf numFmtId="0" fontId="27" fillId="0" borderId="59" xfId="0" applyFont="1" applyBorder="1" applyAlignment="1" applyProtection="1">
      <alignment horizontal="center" vertical="center"/>
      <protection locked="0"/>
    </xf>
    <xf numFmtId="0" fontId="27" fillId="0" borderId="62" xfId="0" applyFont="1" applyBorder="1" applyAlignment="1" applyProtection="1">
      <alignment horizontal="center" vertical="center"/>
      <protection locked="0"/>
    </xf>
    <xf numFmtId="0" fontId="27" fillId="0" borderId="47" xfId="0" applyFont="1" applyBorder="1" applyAlignment="1" applyProtection="1">
      <alignment horizontal="left" vertical="center"/>
      <protection locked="0"/>
    </xf>
    <xf numFmtId="0" fontId="40" fillId="0" borderId="0" xfId="0" applyFont="1" applyFill="1" applyBorder="1" applyAlignment="1">
      <alignment vertical="center"/>
    </xf>
    <xf numFmtId="0" fontId="6" fillId="0" borderId="0" xfId="0" applyFont="1" applyAlignment="1">
      <alignment vertical="center"/>
    </xf>
    <xf numFmtId="0" fontId="25" fillId="21" borderId="2" xfId="0" applyFont="1" applyFill="1" applyBorder="1" applyAlignment="1" applyProtection="1">
      <alignment vertical="center"/>
      <protection hidden="1"/>
    </xf>
    <xf numFmtId="0" fontId="38" fillId="21" borderId="16" xfId="0" applyFont="1" applyFill="1" applyBorder="1" applyAlignment="1" applyProtection="1">
      <alignment horizontal="left" vertical="center"/>
      <protection hidden="1"/>
    </xf>
    <xf numFmtId="0" fontId="38" fillId="21" borderId="3" xfId="0" applyFont="1" applyFill="1" applyBorder="1" applyAlignment="1" applyProtection="1">
      <alignment horizontal="left" vertical="center"/>
      <protection hidden="1"/>
    </xf>
    <xf numFmtId="0" fontId="25" fillId="21" borderId="3" xfId="0" applyFont="1" applyFill="1" applyBorder="1" applyAlignment="1" applyProtection="1">
      <alignment vertical="center"/>
      <protection hidden="1"/>
    </xf>
    <xf numFmtId="0" fontId="38" fillId="21" borderId="5" xfId="0" applyFont="1" applyFill="1" applyBorder="1" applyAlignment="1" applyProtection="1">
      <alignment horizontal="center" vertical="center"/>
      <protection hidden="1"/>
    </xf>
    <xf numFmtId="0" fontId="38" fillId="21" borderId="16" xfId="0" applyFont="1" applyFill="1" applyBorder="1" applyAlignment="1" applyProtection="1">
      <alignment horizontal="center" vertical="center"/>
      <protection hidden="1"/>
    </xf>
    <xf numFmtId="0" fontId="27" fillId="0" borderId="74" xfId="0" applyFont="1" applyBorder="1" applyAlignment="1" applyProtection="1">
      <alignment horizontal="center" vertical="center"/>
      <protection locked="0"/>
    </xf>
    <xf numFmtId="0" fontId="38" fillId="21" borderId="3" xfId="0" applyFont="1" applyFill="1" applyBorder="1" applyAlignment="1" applyProtection="1">
      <alignment vertical="center" wrapText="1"/>
      <protection hidden="1"/>
    </xf>
    <xf numFmtId="0" fontId="27" fillId="4" borderId="22" xfId="0" applyFont="1" applyFill="1" applyBorder="1" applyAlignment="1" applyProtection="1">
      <alignment vertical="center"/>
      <protection locked="0"/>
    </xf>
    <xf numFmtId="0" fontId="25" fillId="21" borderId="48" xfId="0" applyFont="1" applyFill="1" applyBorder="1" applyAlignment="1" applyProtection="1">
      <alignment vertical="center"/>
      <protection hidden="1"/>
    </xf>
    <xf numFmtId="0" fontId="25" fillId="21" borderId="3" xfId="0" applyFont="1" applyFill="1" applyBorder="1" applyAlignment="1" applyProtection="1">
      <alignment horizontal="left" vertical="center"/>
      <protection hidden="1"/>
    </xf>
    <xf numFmtId="0" fontId="24" fillId="4" borderId="47" xfId="0" applyFont="1" applyFill="1" applyBorder="1" applyAlignment="1" applyProtection="1">
      <alignment horizontal="center" vertical="center"/>
    </xf>
    <xf numFmtId="0" fontId="27" fillId="4" borderId="51" xfId="0" applyFont="1" applyFill="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4" borderId="62" xfId="0" applyFont="1" applyFill="1" applyBorder="1" applyAlignment="1" applyProtection="1">
      <alignment horizontal="center" vertical="center" wrapText="1"/>
      <protection locked="0"/>
    </xf>
    <xf numFmtId="0" fontId="27" fillId="0" borderId="62" xfId="0" applyFont="1" applyBorder="1" applyAlignment="1" applyProtection="1">
      <alignment horizontal="center" vertical="center" wrapText="1"/>
      <protection locked="0"/>
    </xf>
    <xf numFmtId="0" fontId="40" fillId="0" borderId="0" xfId="0" applyFont="1"/>
    <xf numFmtId="0" fontId="55" fillId="0" borderId="0" xfId="0" applyFont="1" applyFill="1" applyBorder="1" applyAlignment="1">
      <alignment horizontal="left"/>
    </xf>
    <xf numFmtId="0" fontId="62" fillId="0" borderId="0" xfId="0" applyFont="1" applyFill="1" applyBorder="1" applyAlignment="1">
      <alignment horizontal="left"/>
    </xf>
    <xf numFmtId="0" fontId="60" fillId="0" borderId="0" xfId="0" applyFont="1" applyFill="1" applyBorder="1" applyAlignment="1" applyProtection="1">
      <protection hidden="1"/>
    </xf>
    <xf numFmtId="0" fontId="43"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protection hidden="1"/>
    </xf>
    <xf numFmtId="0" fontId="63" fillId="0" borderId="0" xfId="0" applyFont="1" applyFill="1" applyBorder="1" applyAlignment="1">
      <alignment horizontal="left"/>
    </xf>
    <xf numFmtId="0" fontId="43" fillId="0" borderId="0" xfId="0" applyFont="1" applyFill="1" applyBorder="1" applyAlignment="1" applyProtection="1">
      <alignment horizontal="left" vertical="center" wrapText="1"/>
      <protection locked="0"/>
    </xf>
    <xf numFmtId="0" fontId="43"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40" fillId="0" borderId="0" xfId="0" applyFont="1" applyFill="1" applyBorder="1" applyAlignment="1"/>
    <xf numFmtId="0" fontId="60" fillId="0" borderId="0" xfId="0" applyFont="1" applyFill="1" applyBorder="1" applyAlignment="1" applyProtection="1">
      <alignment horizontal="left" vertical="center" wrapText="1"/>
      <protection hidden="1"/>
    </xf>
    <xf numFmtId="0" fontId="40" fillId="0" borderId="0" xfId="0" applyFont="1" applyFill="1" applyBorder="1" applyProtection="1">
      <protection hidden="1"/>
    </xf>
    <xf numFmtId="0" fontId="43" fillId="0" borderId="0" xfId="0" applyFont="1" applyFill="1" applyBorder="1" applyAlignment="1" applyProtection="1">
      <protection hidden="1"/>
    </xf>
    <xf numFmtId="0" fontId="43" fillId="0" borderId="0" xfId="0" applyFont="1" applyFill="1" applyBorder="1" applyAlignment="1" applyProtection="1">
      <alignment horizontal="left" vertical="center"/>
      <protection locked="0"/>
    </xf>
    <xf numFmtId="0" fontId="43" fillId="0"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hidden="1"/>
    </xf>
    <xf numFmtId="0" fontId="3" fillId="0" borderId="0" xfId="0" applyFont="1" applyAlignment="1">
      <alignment vertical="center"/>
    </xf>
    <xf numFmtId="0" fontId="3" fillId="0" borderId="0" xfId="0" applyFont="1" applyFill="1" applyBorder="1" applyProtection="1">
      <protection hidden="1"/>
    </xf>
    <xf numFmtId="0" fontId="60" fillId="0" borderId="0" xfId="0" applyFont="1" applyFill="1" applyBorder="1" applyAlignment="1"/>
    <xf numFmtId="0" fontId="49" fillId="0" borderId="0" xfId="0" applyFont="1" applyFill="1" applyBorder="1" applyAlignment="1" applyProtection="1">
      <alignment vertical="center"/>
      <protection locked="0"/>
    </xf>
    <xf numFmtId="0" fontId="3" fillId="0" borderId="0" xfId="0" applyFont="1" applyFill="1" applyBorder="1" applyAlignment="1" applyProtection="1">
      <protection locked="0"/>
    </xf>
    <xf numFmtId="0" fontId="43" fillId="0" borderId="0" xfId="0" applyFont="1" applyFill="1" applyBorder="1" applyAlignment="1" applyProtection="1">
      <protection locked="0"/>
    </xf>
    <xf numFmtId="0" fontId="43" fillId="0" borderId="0" xfId="0" applyFont="1" applyFill="1" applyBorder="1" applyAlignment="1"/>
    <xf numFmtId="0" fontId="49" fillId="0" borderId="0" xfId="0" applyFont="1" applyFill="1" applyBorder="1" applyAlignment="1"/>
    <xf numFmtId="0" fontId="60" fillId="0" borderId="0" xfId="0" applyFont="1" applyFill="1" applyBorder="1" applyAlignment="1">
      <alignment horizontal="left"/>
    </xf>
    <xf numFmtId="0" fontId="43" fillId="0" borderId="0" xfId="0" applyFont="1" applyFill="1" applyBorder="1" applyAlignment="1" applyProtection="1">
      <alignment horizontal="left"/>
      <protection locked="0"/>
    </xf>
    <xf numFmtId="0" fontId="3" fillId="0" borderId="0" xfId="0" applyFont="1" applyProtection="1">
      <protection hidden="1"/>
    </xf>
    <xf numFmtId="49" fontId="43" fillId="0" borderId="0" xfId="0" applyNumberFormat="1" applyFont="1" applyFill="1" applyBorder="1" applyAlignment="1" applyProtection="1">
      <alignment horizontal="left"/>
      <protection locked="0"/>
    </xf>
    <xf numFmtId="0" fontId="3" fillId="0" borderId="0" xfId="0" applyFont="1" applyFill="1" applyBorder="1" applyAlignment="1"/>
    <xf numFmtId="0" fontId="49" fillId="0" borderId="0" xfId="0" applyFont="1" applyFill="1" applyBorder="1" applyAlignment="1">
      <alignment wrapText="1"/>
    </xf>
    <xf numFmtId="0" fontId="40" fillId="0" borderId="0" xfId="0" applyFont="1" applyFill="1" applyBorder="1" applyAlignment="1" applyProtection="1">
      <alignment horizontal="center" vertical="center"/>
      <protection hidden="1"/>
    </xf>
    <xf numFmtId="0" fontId="40" fillId="0" borderId="0" xfId="0" applyFont="1" applyAlignment="1">
      <alignment vertical="center"/>
    </xf>
    <xf numFmtId="0" fontId="12" fillId="4" borderId="27" xfId="0" applyFont="1" applyFill="1" applyBorder="1" applyAlignment="1">
      <alignment horizontal="center" vertical="center"/>
    </xf>
    <xf numFmtId="0" fontId="9" fillId="0" borderId="26" xfId="0" applyFont="1" applyBorder="1" applyAlignment="1">
      <alignment horizontal="center"/>
    </xf>
    <xf numFmtId="0" fontId="24" fillId="21" borderId="1" xfId="0" applyFont="1" applyFill="1" applyBorder="1" applyAlignment="1" applyProtection="1">
      <alignment vertical="center"/>
      <protection hidden="1"/>
    </xf>
    <xf numFmtId="0" fontId="0" fillId="21" borderId="2" xfId="0" applyFill="1" applyBorder="1" applyAlignment="1" applyProtection="1">
      <alignment vertical="center"/>
      <protection hidden="1"/>
    </xf>
    <xf numFmtId="0" fontId="27" fillId="0" borderId="47"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68" xfId="0" applyBorder="1" applyAlignment="1" applyProtection="1">
      <alignment vertical="center"/>
      <protection locked="0"/>
    </xf>
    <xf numFmtId="0" fontId="24" fillId="21" borderId="15" xfId="0" applyFont="1" applyFill="1" applyBorder="1" applyAlignment="1" applyProtection="1">
      <alignment vertical="center"/>
      <protection hidden="1"/>
    </xf>
    <xf numFmtId="0" fontId="0" fillId="21" borderId="5" xfId="0" applyFill="1" applyBorder="1" applyAlignment="1" applyProtection="1">
      <alignment vertical="center"/>
      <protection hidden="1"/>
    </xf>
    <xf numFmtId="0" fontId="0" fillId="0" borderId="5" xfId="0" applyBorder="1" applyAlignment="1"/>
    <xf numFmtId="0" fontId="47" fillId="21" borderId="5" xfId="0" applyFont="1" applyFill="1" applyBorder="1" applyAlignment="1" applyProtection="1">
      <alignment horizontal="center" vertical="center"/>
      <protection hidden="1"/>
    </xf>
    <xf numFmtId="0" fontId="0" fillId="0" borderId="5" xfId="0" applyBorder="1" applyAlignment="1">
      <alignment horizontal="center" vertical="center"/>
    </xf>
    <xf numFmtId="0" fontId="0" fillId="0" borderId="16" xfId="0" applyBorder="1" applyAlignment="1">
      <alignment horizontal="center" vertical="center"/>
    </xf>
    <xf numFmtId="0" fontId="33" fillId="16" borderId="57" xfId="0" applyFont="1" applyFill="1" applyBorder="1" applyAlignment="1" applyProtection="1">
      <alignment vertical="center"/>
      <protection hidden="1"/>
    </xf>
    <xf numFmtId="0" fontId="0" fillId="0" borderId="58" xfId="0" applyBorder="1" applyAlignment="1" applyProtection="1">
      <alignment vertical="center"/>
      <protection hidden="1"/>
    </xf>
    <xf numFmtId="0" fontId="27" fillId="21" borderId="2" xfId="0" applyFont="1" applyFill="1" applyBorder="1" applyAlignment="1" applyProtection="1">
      <alignment vertical="center"/>
      <protection hidden="1"/>
    </xf>
    <xf numFmtId="0" fontId="0" fillId="21" borderId="50" xfId="0" applyFill="1" applyBorder="1" applyAlignment="1" applyProtection="1">
      <alignment vertical="center"/>
      <protection hidden="1"/>
    </xf>
    <xf numFmtId="0" fontId="27" fillId="0" borderId="20"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0" fillId="0" borderId="0" xfId="0" applyAlignment="1" applyProtection="1">
      <alignment vertical="center"/>
      <protection locked="0"/>
    </xf>
    <xf numFmtId="0" fontId="24" fillId="21" borderId="83" xfId="0" applyFont="1" applyFill="1" applyBorder="1" applyAlignment="1" applyProtection="1">
      <alignment vertical="center"/>
      <protection hidden="1"/>
    </xf>
    <xf numFmtId="0" fontId="27" fillId="21" borderId="84" xfId="0" applyFont="1" applyFill="1" applyBorder="1" applyAlignment="1" applyProtection="1">
      <alignment vertical="center"/>
      <protection hidden="1"/>
    </xf>
    <xf numFmtId="0" fontId="27" fillId="21" borderId="82" xfId="0" applyFont="1" applyFill="1" applyBorder="1" applyAlignment="1" applyProtection="1">
      <alignment vertical="center"/>
      <protection hidden="1"/>
    </xf>
    <xf numFmtId="0" fontId="27" fillId="21" borderId="1" xfId="0" applyFont="1" applyFill="1" applyBorder="1" applyAlignment="1" applyProtection="1">
      <alignment vertical="center"/>
      <protection hidden="1"/>
    </xf>
    <xf numFmtId="0" fontId="0" fillId="21" borderId="3" xfId="0" applyFill="1" applyBorder="1" applyAlignment="1" applyProtection="1">
      <alignment vertical="center"/>
      <protection hidden="1"/>
    </xf>
    <xf numFmtId="0" fontId="24" fillId="21" borderId="1" xfId="0" applyFont="1" applyFill="1" applyBorder="1" applyAlignment="1" applyProtection="1">
      <alignment horizontal="left" vertical="center"/>
      <protection hidden="1"/>
    </xf>
    <xf numFmtId="0" fontId="0" fillId="21" borderId="2" xfId="0" applyFill="1" applyBorder="1" applyAlignment="1" applyProtection="1">
      <alignment horizontal="left" vertical="center"/>
      <protection hidden="1"/>
    </xf>
    <xf numFmtId="165" fontId="27" fillId="0" borderId="0" xfId="1" applyNumberFormat="1" applyFont="1" applyBorder="1" applyAlignment="1" applyProtection="1">
      <alignment vertical="center"/>
      <protection locked="0"/>
    </xf>
    <xf numFmtId="0" fontId="33" fillId="16" borderId="34" xfId="0" applyFont="1" applyFill="1" applyBorder="1" applyAlignment="1" applyProtection="1">
      <alignment vertical="center"/>
      <protection hidden="1"/>
    </xf>
    <xf numFmtId="0" fontId="0" fillId="0" borderId="35" xfId="0" applyBorder="1" applyAlignment="1" applyProtection="1">
      <alignment vertical="center"/>
      <protection hidden="1"/>
    </xf>
    <xf numFmtId="0" fontId="35" fillId="20" borderId="1" xfId="0" applyFont="1" applyFill="1" applyBorder="1" applyAlignment="1" applyProtection="1">
      <alignment horizontal="center" vertical="center"/>
      <protection locked="0"/>
    </xf>
    <xf numFmtId="0" fontId="35" fillId="20" borderId="2" xfId="0" applyFont="1" applyFill="1" applyBorder="1" applyAlignment="1" applyProtection="1">
      <alignment horizontal="center" vertical="center"/>
      <protection locked="0"/>
    </xf>
    <xf numFmtId="0" fontId="35" fillId="20" borderId="3" xfId="0" applyFont="1" applyFill="1" applyBorder="1" applyAlignment="1" applyProtection="1">
      <alignment horizontal="center" vertical="center"/>
      <protection locked="0"/>
    </xf>
    <xf numFmtId="0" fontId="0" fillId="16" borderId="35" xfId="0" applyFill="1" applyBorder="1" applyAlignment="1" applyProtection="1">
      <alignment vertical="center"/>
      <protection hidden="1"/>
    </xf>
    <xf numFmtId="0" fontId="0" fillId="16" borderId="28" xfId="0" applyFill="1" applyBorder="1" applyAlignment="1" applyProtection="1">
      <alignment vertical="center"/>
      <protection hidden="1"/>
    </xf>
    <xf numFmtId="0" fontId="24" fillId="21" borderId="18" xfId="0" applyFont="1" applyFill="1" applyBorder="1" applyAlignment="1" applyProtection="1">
      <alignment vertical="center"/>
      <protection hidden="1"/>
    </xf>
    <xf numFmtId="0" fontId="27" fillId="21" borderId="0" xfId="0" applyFont="1" applyFill="1" applyAlignment="1" applyProtection="1">
      <alignment vertical="center"/>
      <protection hidden="1"/>
    </xf>
    <xf numFmtId="0" fontId="0" fillId="21" borderId="0" xfId="0" applyFill="1" applyAlignment="1" applyProtection="1">
      <alignment vertical="center"/>
      <protection hidden="1"/>
    </xf>
    <xf numFmtId="0" fontId="58" fillId="0" borderId="51" xfId="0" applyFont="1" applyBorder="1" applyAlignment="1" applyProtection="1">
      <alignment horizontal="center" vertical="center" wrapText="1"/>
      <protection hidden="1"/>
    </xf>
    <xf numFmtId="0" fontId="58" fillId="0" borderId="59" xfId="0" applyFont="1" applyBorder="1" applyAlignment="1" applyProtection="1">
      <alignment horizontal="center" vertical="center" wrapText="1"/>
      <protection hidden="1"/>
    </xf>
    <xf numFmtId="0" fontId="58" fillId="0" borderId="60" xfId="0" applyFont="1" applyBorder="1" applyAlignment="1" applyProtection="1">
      <alignment horizontal="center" vertical="center" wrapText="1"/>
      <protection hidden="1"/>
    </xf>
    <xf numFmtId="0" fontId="27" fillId="0" borderId="59" xfId="0" applyFont="1" applyBorder="1" applyAlignment="1" applyProtection="1">
      <alignment horizontal="center" vertical="center"/>
      <protection locked="0"/>
    </xf>
    <xf numFmtId="49" fontId="27" fillId="0" borderId="59" xfId="0" applyNumberFormat="1" applyFont="1"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27" fillId="4" borderId="59" xfId="0" applyFont="1" applyFill="1" applyBorder="1" applyAlignment="1" applyProtection="1">
      <alignment vertical="center"/>
      <protection locked="0"/>
    </xf>
    <xf numFmtId="0" fontId="0" fillId="0" borderId="59" xfId="0" applyBorder="1" applyAlignment="1" applyProtection="1">
      <alignment vertical="center"/>
      <protection locked="0"/>
    </xf>
    <xf numFmtId="49" fontId="27" fillId="0" borderId="59" xfId="0" applyNumberFormat="1" applyFont="1" applyBorder="1" applyAlignment="1" applyProtection="1">
      <alignment vertical="center"/>
      <protection locked="0"/>
    </xf>
    <xf numFmtId="49" fontId="0" fillId="0" borderId="59" xfId="0" applyNumberFormat="1" applyBorder="1" applyAlignment="1" applyProtection="1">
      <alignment vertical="center"/>
      <protection locked="0"/>
    </xf>
    <xf numFmtId="0" fontId="27" fillId="4" borderId="59" xfId="0" applyFont="1"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49" fillId="0" borderId="0" xfId="0" applyFont="1" applyFill="1" applyBorder="1"/>
    <xf numFmtId="0" fontId="35" fillId="4" borderId="5" xfId="0" applyFont="1" applyFill="1" applyBorder="1" applyAlignment="1">
      <alignment horizontal="right" vertical="center"/>
    </xf>
    <xf numFmtId="0" fontId="50" fillId="4" borderId="5" xfId="0" applyFont="1" applyFill="1" applyBorder="1" applyAlignment="1">
      <alignment horizontal="right" vertical="center"/>
    </xf>
    <xf numFmtId="0" fontId="0" fillId="0" borderId="0" xfId="0" applyAlignment="1">
      <alignment vertical="center"/>
    </xf>
    <xf numFmtId="0" fontId="35" fillId="4" borderId="13" xfId="0" applyFont="1" applyFill="1" applyBorder="1"/>
    <xf numFmtId="0" fontId="35" fillId="4" borderId="1" xfId="0" applyFont="1" applyFill="1" applyBorder="1"/>
    <xf numFmtId="0" fontId="35" fillId="4" borderId="19" xfId="0" applyFont="1" applyFill="1" applyBorder="1"/>
    <xf numFmtId="0" fontId="35" fillId="4" borderId="15" xfId="0" applyFont="1" applyFill="1" applyBorder="1"/>
    <xf numFmtId="0" fontId="27" fillId="4" borderId="0" xfId="0" applyFont="1" applyFill="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0" borderId="5" xfId="0" applyFont="1" applyBorder="1" applyAlignment="1">
      <alignment horizontal="center"/>
    </xf>
    <xf numFmtId="0" fontId="28" fillId="0" borderId="5" xfId="0" applyFont="1" applyBorder="1"/>
    <xf numFmtId="0" fontId="0" fillId="0" borderId="5" xfId="0" applyBorder="1"/>
    <xf numFmtId="0" fontId="28" fillId="0" borderId="0" xfId="0" applyFont="1"/>
    <xf numFmtId="0" fontId="0" fillId="0" borderId="0" xfId="0"/>
    <xf numFmtId="0" fontId="35" fillId="4" borderId="0" xfId="0" applyFont="1" applyFill="1" applyAlignment="1" applyProtection="1">
      <alignment horizontal="center" vertical="center"/>
      <protection hidden="1"/>
    </xf>
    <xf numFmtId="0" fontId="26" fillId="4" borderId="0" xfId="0" applyFont="1" applyFill="1"/>
    <xf numFmtId="0" fontId="6" fillId="4" borderId="30" xfId="0" applyFont="1" applyFill="1" applyBorder="1"/>
    <xf numFmtId="0" fontId="0" fillId="0" borderId="30" xfId="0" applyBorder="1"/>
    <xf numFmtId="0" fontId="33" fillId="16" borderId="29" xfId="0" applyFont="1" applyFill="1" applyBorder="1" applyAlignment="1" applyProtection="1">
      <alignment vertical="center"/>
      <protection hidden="1"/>
    </xf>
    <xf numFmtId="0" fontId="0" fillId="0" borderId="29" xfId="0" applyBorder="1" applyAlignment="1" applyProtection="1">
      <alignment vertical="center"/>
      <protection hidden="1"/>
    </xf>
    <xf numFmtId="0" fontId="24" fillId="21" borderId="77" xfId="0" applyFont="1" applyFill="1" applyBorder="1" applyAlignment="1" applyProtection="1">
      <alignment vertical="center"/>
      <protection hidden="1"/>
    </xf>
    <xf numFmtId="0" fontId="0" fillId="21" borderId="78" xfId="0" applyFill="1" applyBorder="1" applyAlignment="1" applyProtection="1">
      <alignment vertical="center"/>
      <protection hidden="1"/>
    </xf>
    <xf numFmtId="0" fontId="0" fillId="21" borderId="48" xfId="0" applyFill="1" applyBorder="1" applyAlignment="1" applyProtection="1">
      <alignment vertical="center"/>
      <protection hidden="1"/>
    </xf>
    <xf numFmtId="0" fontId="24" fillId="21" borderId="1" xfId="0" applyFont="1" applyFill="1" applyBorder="1" applyAlignment="1" applyProtection="1">
      <alignment horizontal="center" vertical="center"/>
      <protection hidden="1"/>
    </xf>
    <xf numFmtId="0" fontId="0" fillId="21" borderId="2" xfId="0" applyFill="1" applyBorder="1" applyAlignment="1" applyProtection="1">
      <alignment horizontal="center" vertical="center"/>
      <protection hidden="1"/>
    </xf>
    <xf numFmtId="0" fontId="0" fillId="21" borderId="3" xfId="0" applyFill="1" applyBorder="1" applyAlignment="1" applyProtection="1">
      <alignment horizontal="center" vertical="center"/>
      <protection hidden="1"/>
    </xf>
    <xf numFmtId="0" fontId="27" fillId="4" borderId="51" xfId="0" applyFont="1" applyFill="1" applyBorder="1" applyAlignment="1" applyProtection="1">
      <alignment vertical="center"/>
      <protection locked="0"/>
    </xf>
    <xf numFmtId="0" fontId="0" fillId="0" borderId="51" xfId="0" applyBorder="1" applyAlignment="1" applyProtection="1">
      <alignment vertical="center"/>
      <protection locked="0"/>
    </xf>
    <xf numFmtId="49" fontId="27" fillId="0" borderId="51" xfId="0" applyNumberFormat="1" applyFont="1" applyBorder="1" applyAlignment="1" applyProtection="1">
      <alignment vertical="center"/>
      <protection locked="0"/>
    </xf>
    <xf numFmtId="49" fontId="0" fillId="0" borderId="51" xfId="0" applyNumberFormat="1" applyBorder="1" applyAlignment="1" applyProtection="1">
      <alignment vertical="center"/>
      <protection locked="0"/>
    </xf>
    <xf numFmtId="0" fontId="27" fillId="4" borderId="51" xfId="0" applyFont="1" applyFill="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6" fillId="4" borderId="0" xfId="0" applyFont="1" applyFill="1"/>
    <xf numFmtId="0" fontId="27" fillId="4" borderId="0" xfId="0" applyFont="1" applyFill="1" applyAlignment="1" applyProtection="1">
      <alignment horizontal="center"/>
      <protection locked="0"/>
    </xf>
    <xf numFmtId="0" fontId="0" fillId="0" borderId="0" xfId="0" applyAlignment="1">
      <alignment horizontal="center"/>
    </xf>
    <xf numFmtId="0" fontId="27" fillId="0" borderId="18"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6" fillId="0" borderId="0" xfId="0" applyFont="1"/>
    <xf numFmtId="0" fontId="27" fillId="0" borderId="0" xfId="0" applyFont="1" applyAlignment="1" applyProtection="1">
      <alignment horizontal="center" vertical="center"/>
      <protection locked="0"/>
    </xf>
    <xf numFmtId="0" fontId="0" fillId="0" borderId="30" xfId="0" applyBorder="1" applyAlignment="1" applyProtection="1">
      <alignment vertical="center"/>
      <protection locked="0"/>
    </xf>
    <xf numFmtId="0" fontId="26" fillId="0" borderId="43" xfId="0" applyFont="1" applyBorder="1" applyAlignment="1" applyProtection="1">
      <alignment horizontal="center" vertical="center"/>
      <protection locked="0"/>
    </xf>
    <xf numFmtId="0" fontId="0" fillId="4" borderId="0" xfId="0" applyFill="1"/>
    <xf numFmtId="0" fontId="27" fillId="0" borderId="30" xfId="0" applyFont="1" applyBorder="1" applyAlignment="1" applyProtection="1">
      <alignment horizontal="center" vertical="center"/>
      <protection locked="0"/>
    </xf>
    <xf numFmtId="0" fontId="6" fillId="0" borderId="17" xfId="0" applyFont="1" applyBorder="1"/>
    <xf numFmtId="0" fontId="0" fillId="0" borderId="0" xfId="0" applyAlignment="1" applyProtection="1">
      <alignment horizontal="center" vertical="center"/>
      <protection hidden="1"/>
    </xf>
    <xf numFmtId="49" fontId="27" fillId="0" borderId="61" xfId="0" applyNumberFormat="1" applyFont="1"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4" borderId="17" xfId="0" applyFill="1" applyBorder="1"/>
    <xf numFmtId="0" fontId="0" fillId="4" borderId="69" xfId="0" applyFill="1" applyBorder="1"/>
    <xf numFmtId="0" fontId="35" fillId="0" borderId="0" xfId="0" applyFont="1" applyAlignment="1" applyProtection="1">
      <alignment horizontal="center" vertical="center"/>
      <protection hidden="1"/>
    </xf>
    <xf numFmtId="0" fontId="6" fillId="4" borderId="18" xfId="0" applyFont="1" applyFill="1" applyBorder="1"/>
    <xf numFmtId="0" fontId="0" fillId="0" borderId="4" xfId="0" applyBorder="1"/>
    <xf numFmtId="0" fontId="27" fillId="17" borderId="37" xfId="0" applyFont="1" applyFill="1" applyBorder="1" applyAlignment="1" applyProtection="1">
      <alignment wrapText="1"/>
      <protection hidden="1"/>
    </xf>
    <xf numFmtId="0" fontId="0" fillId="0" borderId="36" xfId="0" applyBorder="1" applyAlignment="1" applyProtection="1">
      <alignment wrapText="1"/>
      <protection hidden="1"/>
    </xf>
    <xf numFmtId="0" fontId="0" fillId="0" borderId="38" xfId="0" applyBorder="1" applyAlignment="1" applyProtection="1">
      <alignment wrapText="1"/>
      <protection hidden="1"/>
    </xf>
    <xf numFmtId="0" fontId="27" fillId="17" borderId="39"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0" borderId="40" xfId="0" applyBorder="1" applyAlignment="1" applyProtection="1">
      <alignment vertical="center" wrapText="1"/>
      <protection hidden="1"/>
    </xf>
    <xf numFmtId="0" fontId="27" fillId="17" borderId="39" xfId="0" applyFont="1" applyFill="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40" xfId="0" applyBorder="1" applyAlignment="1" applyProtection="1">
      <alignment horizontal="left" vertical="center" wrapText="1"/>
      <protection hidden="1"/>
    </xf>
    <xf numFmtId="0" fontId="0" fillId="0" borderId="39" xfId="0" applyBorder="1" applyAlignment="1" applyProtection="1">
      <alignment horizontal="left" vertical="center" wrapText="1"/>
      <protection hidden="1"/>
    </xf>
    <xf numFmtId="0" fontId="0" fillId="0" borderId="39" xfId="0" applyBorder="1" applyAlignment="1" applyProtection="1">
      <alignment vertical="center" wrapText="1"/>
      <protection hidden="1"/>
    </xf>
    <xf numFmtId="0" fontId="27" fillId="17" borderId="41" xfId="0" applyFont="1" applyFill="1" applyBorder="1" applyAlignment="1" applyProtection="1">
      <alignment vertical="center" wrapText="1"/>
      <protection hidden="1"/>
    </xf>
    <xf numFmtId="0" fontId="0" fillId="0" borderId="30" xfId="0" applyBorder="1" applyAlignment="1" applyProtection="1">
      <alignment vertical="center" wrapText="1"/>
      <protection hidden="1"/>
    </xf>
    <xf numFmtId="0" fontId="0" fillId="0" borderId="42" xfId="0" applyBorder="1" applyAlignment="1" applyProtection="1">
      <alignment vertical="center" wrapText="1"/>
      <protection hidden="1"/>
    </xf>
    <xf numFmtId="0" fontId="27" fillId="17" borderId="39" xfId="0" applyFont="1" applyFill="1" applyBorder="1" applyAlignment="1" applyProtection="1">
      <alignment wrapText="1"/>
      <protection hidden="1"/>
    </xf>
    <xf numFmtId="0" fontId="0" fillId="0" borderId="0" xfId="0" applyBorder="1" applyAlignment="1" applyProtection="1">
      <alignment wrapText="1"/>
      <protection hidden="1"/>
    </xf>
    <xf numFmtId="0" fontId="0" fillId="0" borderId="40" xfId="0" applyBorder="1" applyAlignment="1" applyProtection="1">
      <alignment wrapText="1"/>
      <protection hidden="1"/>
    </xf>
    <xf numFmtId="0" fontId="39" fillId="21" borderId="1" xfId="0" applyFont="1" applyFill="1" applyBorder="1" applyAlignment="1" applyProtection="1">
      <alignment vertical="center"/>
      <protection hidden="1"/>
    </xf>
    <xf numFmtId="0" fontId="0" fillId="0" borderId="2" xfId="0" applyBorder="1" applyAlignment="1" applyProtection="1">
      <alignment vertical="center"/>
      <protection hidden="1"/>
    </xf>
    <xf numFmtId="0" fontId="27" fillId="0" borderId="61" xfId="0" applyFont="1" applyBorder="1" applyAlignment="1" applyProtection="1">
      <alignment horizontal="left" vertical="center"/>
      <protection locked="0"/>
    </xf>
    <xf numFmtId="0" fontId="24" fillId="21" borderId="2" xfId="0" applyFont="1" applyFill="1" applyBorder="1" applyAlignment="1" applyProtection="1">
      <alignment horizontal="center" vertical="center"/>
      <protection hidden="1"/>
    </xf>
    <xf numFmtId="0" fontId="27" fillId="21" borderId="2" xfId="0" applyFont="1" applyFill="1" applyBorder="1" applyAlignment="1" applyProtection="1">
      <alignment horizontal="center" vertical="center"/>
      <protection hidden="1"/>
    </xf>
    <xf numFmtId="0" fontId="0" fillId="0" borderId="64" xfId="0" applyBorder="1" applyAlignment="1" applyProtection="1">
      <alignment horizontal="left" vertical="center"/>
      <protection locked="0"/>
    </xf>
    <xf numFmtId="0" fontId="0" fillId="0" borderId="50" xfId="0" applyBorder="1" applyAlignment="1" applyProtection="1">
      <alignment vertical="center"/>
      <protection hidden="1"/>
    </xf>
    <xf numFmtId="0" fontId="27" fillId="4"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27" fillId="4" borderId="47" xfId="0" applyFont="1" applyFill="1" applyBorder="1" applyAlignment="1" applyProtection="1">
      <alignment horizontal="center" vertical="center" wrapText="1"/>
      <protection locked="0"/>
    </xf>
    <xf numFmtId="0" fontId="0" fillId="0" borderId="68" xfId="0" applyBorder="1" applyAlignment="1" applyProtection="1">
      <alignment horizontal="center" vertical="center"/>
      <protection locked="0"/>
    </xf>
    <xf numFmtId="49" fontId="27" fillId="0" borderId="47" xfId="0" applyNumberFormat="1" applyFont="1" applyBorder="1" applyAlignment="1" applyProtection="1">
      <alignment horizontal="left" vertical="center"/>
      <protection locked="0"/>
    </xf>
    <xf numFmtId="0" fontId="27" fillId="0" borderId="0" xfId="0" applyFont="1" applyAlignment="1" applyProtection="1">
      <alignment vertical="center"/>
      <protection locked="0"/>
    </xf>
    <xf numFmtId="0" fontId="27" fillId="0" borderId="68" xfId="0" applyFont="1" applyBorder="1" applyAlignment="1" applyProtection="1">
      <alignment vertical="center"/>
      <protection locked="0"/>
    </xf>
    <xf numFmtId="0" fontId="27" fillId="17" borderId="37" xfId="0" applyFont="1" applyFill="1"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38"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41" xfId="0" applyBorder="1" applyAlignment="1" applyProtection="1">
      <alignment vertical="center" wrapText="1"/>
      <protection hidden="1"/>
    </xf>
    <xf numFmtId="0" fontId="0" fillId="0" borderId="18" xfId="0" applyBorder="1"/>
    <xf numFmtId="0" fontId="26" fillId="0" borderId="30"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6" fillId="0" borderId="18" xfId="0" applyFont="1" applyBorder="1"/>
    <xf numFmtId="0" fontId="60" fillId="0" borderId="0" xfId="0" applyFont="1" applyFill="1" applyBorder="1" applyAlignment="1"/>
    <xf numFmtId="0" fontId="3" fillId="0" borderId="0" xfId="0" applyFont="1" applyFill="1" applyBorder="1" applyAlignment="1"/>
    <xf numFmtId="0" fontId="43" fillId="0" borderId="0" xfId="0" applyFont="1" applyFill="1" applyBorder="1" applyAlignment="1" applyProtection="1">
      <alignment horizontal="left"/>
      <protection locked="0"/>
    </xf>
    <xf numFmtId="0" fontId="27" fillId="0" borderId="22"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7" fillId="0" borderId="47" xfId="0" applyFont="1" applyBorder="1" applyAlignment="1" applyProtection="1">
      <alignment horizontal="left" vertical="center"/>
      <protection locked="0"/>
    </xf>
    <xf numFmtId="0" fontId="27" fillId="0" borderId="0" xfId="0" applyFont="1" applyBorder="1" applyAlignment="1" applyProtection="1">
      <alignment horizontal="left" vertical="center"/>
      <protection locked="0"/>
    </xf>
    <xf numFmtId="0" fontId="51" fillId="21" borderId="2" xfId="0" applyFont="1" applyFill="1" applyBorder="1" applyAlignment="1" applyProtection="1">
      <alignment horizontal="center" vertical="center"/>
      <protection hidden="1"/>
    </xf>
    <xf numFmtId="0" fontId="52" fillId="0" borderId="2" xfId="0" applyFont="1" applyBorder="1" applyAlignment="1" applyProtection="1">
      <alignment horizontal="center" vertical="center"/>
      <protection hidden="1"/>
    </xf>
    <xf numFmtId="0" fontId="0" fillId="0" borderId="44" xfId="0" applyBorder="1" applyAlignment="1" applyProtection="1">
      <alignment vertical="center"/>
      <protection locked="0"/>
    </xf>
    <xf numFmtId="0" fontId="51" fillId="21" borderId="2" xfId="0" applyFont="1" applyFill="1" applyBorder="1" applyAlignment="1" applyProtection="1">
      <alignment vertical="center"/>
      <protection hidden="1"/>
    </xf>
    <xf numFmtId="0" fontId="51" fillId="0" borderId="2" xfId="0" applyFont="1" applyBorder="1" applyAlignment="1" applyProtection="1">
      <alignment vertical="center"/>
      <protection hidden="1"/>
    </xf>
    <xf numFmtId="0" fontId="27" fillId="4" borderId="47" xfId="0" applyFont="1" applyFill="1" applyBorder="1" applyAlignment="1" applyProtection="1">
      <alignment vertical="center"/>
      <protection locked="0"/>
    </xf>
    <xf numFmtId="0" fontId="51" fillId="21" borderId="49" xfId="0" applyFont="1" applyFill="1" applyBorder="1" applyAlignment="1" applyProtection="1">
      <alignment vertical="center"/>
      <protection hidden="1"/>
    </xf>
    <xf numFmtId="0" fontId="27" fillId="0" borderId="22"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36" fillId="0" borderId="68" xfId="0" applyFont="1" applyBorder="1" applyAlignment="1" applyProtection="1">
      <alignment vertical="center"/>
      <protection locked="0"/>
    </xf>
    <xf numFmtId="49" fontId="36" fillId="0" borderId="0" xfId="0" applyNumberFormat="1" applyFont="1" applyBorder="1" applyAlignment="1" applyProtection="1">
      <alignment horizontal="left" vertical="center"/>
      <protection locked="0"/>
    </xf>
    <xf numFmtId="49" fontId="36" fillId="0" borderId="68" xfId="0" applyNumberFormat="1" applyFont="1" applyBorder="1" applyAlignment="1" applyProtection="1">
      <alignment horizontal="left" vertical="center"/>
      <protection locked="0"/>
    </xf>
    <xf numFmtId="49" fontId="27" fillId="0" borderId="0" xfId="0" applyNumberFormat="1" applyFont="1" applyBorder="1" applyAlignment="1" applyProtection="1">
      <alignment horizontal="left" vertical="center"/>
      <protection locked="0"/>
    </xf>
    <xf numFmtId="0" fontId="33" fillId="16" borderId="34" xfId="0" applyFont="1" applyFill="1" applyBorder="1" applyAlignment="1" applyProtection="1">
      <alignment horizontal="left" vertical="center"/>
      <protection hidden="1"/>
    </xf>
    <xf numFmtId="0" fontId="0" fillId="0" borderId="35" xfId="0" applyBorder="1" applyAlignment="1" applyProtection="1">
      <alignment horizontal="left" vertical="center"/>
      <protection hidden="1"/>
    </xf>
    <xf numFmtId="0" fontId="56" fillId="16" borderId="35" xfId="0" applyFont="1" applyFill="1" applyBorder="1" applyAlignment="1" applyProtection="1">
      <alignment horizontal="center" vertical="center"/>
      <protection hidden="1"/>
    </xf>
    <xf numFmtId="0" fontId="54" fillId="0" borderId="35" xfId="0" applyFont="1" applyBorder="1" applyAlignment="1" applyProtection="1">
      <alignment horizontal="center" vertical="center"/>
      <protection hidden="1"/>
    </xf>
    <xf numFmtId="0" fontId="54" fillId="0" borderId="28" xfId="0" applyFont="1" applyBorder="1" applyAlignment="1" applyProtection="1">
      <alignment horizontal="center" vertical="center"/>
      <protection hidden="1"/>
    </xf>
    <xf numFmtId="0" fontId="27" fillId="0" borderId="60" xfId="0" applyFont="1"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27" fillId="4" borderId="60" xfId="0" applyFont="1" applyFill="1" applyBorder="1" applyAlignment="1" applyProtection="1">
      <alignment horizontal="center" vertical="center" wrapText="1"/>
      <protection locked="0"/>
    </xf>
    <xf numFmtId="0" fontId="0" fillId="0" borderId="64" xfId="0" applyBorder="1" applyAlignment="1" applyProtection="1">
      <alignment vertical="center" wrapText="1"/>
      <protection locked="0"/>
    </xf>
    <xf numFmtId="49" fontId="27" fillId="0" borderId="60" xfId="0" applyNumberFormat="1" applyFont="1"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27" fillId="0" borderId="60" xfId="0" applyFont="1" applyBorder="1" applyAlignment="1" applyProtection="1">
      <alignment vertical="center" wrapText="1"/>
      <protection locked="0"/>
    </xf>
    <xf numFmtId="0" fontId="27" fillId="0" borderId="61" xfId="0" applyFont="1" applyBorder="1" applyAlignment="1" applyProtection="1">
      <alignment wrapText="1"/>
      <protection locked="0"/>
    </xf>
    <xf numFmtId="0" fontId="27" fillId="4" borderId="59" xfId="0" applyFont="1" applyFill="1" applyBorder="1" applyAlignment="1" applyProtection="1">
      <alignment horizontal="center"/>
      <protection locked="0"/>
    </xf>
    <xf numFmtId="0" fontId="0" fillId="0" borderId="59" xfId="0" applyBorder="1" applyAlignment="1" applyProtection="1">
      <protection locked="0"/>
    </xf>
    <xf numFmtId="0" fontId="27" fillId="4" borderId="51" xfId="0" applyFont="1" applyFill="1" applyBorder="1" applyAlignment="1" applyProtection="1">
      <alignment horizontal="center"/>
      <protection locked="0"/>
    </xf>
    <xf numFmtId="0" fontId="0" fillId="0" borderId="51" xfId="0" applyBorder="1" applyAlignment="1" applyProtection="1">
      <protection locked="0"/>
    </xf>
    <xf numFmtId="0" fontId="27" fillId="0" borderId="52" xfId="0" applyFont="1"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27" fillId="4" borderId="52" xfId="0" applyFont="1" applyFill="1" applyBorder="1" applyAlignment="1" applyProtection="1">
      <alignment horizontal="center" vertical="center" wrapText="1"/>
      <protection locked="0"/>
    </xf>
    <xf numFmtId="0" fontId="0" fillId="0" borderId="54" xfId="0" applyBorder="1" applyAlignment="1" applyProtection="1">
      <alignment vertical="center" wrapText="1"/>
      <protection locked="0"/>
    </xf>
    <xf numFmtId="49" fontId="27" fillId="0" borderId="52" xfId="0" applyNumberFormat="1" applyFont="1"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27" fillId="0" borderId="52" xfId="0" applyFont="1" applyBorder="1" applyAlignment="1" applyProtection="1">
      <alignment vertical="center" wrapText="1"/>
      <protection locked="0"/>
    </xf>
    <xf numFmtId="0" fontId="27" fillId="0" borderId="53" xfId="0" applyFont="1" applyBorder="1" applyAlignment="1" applyProtection="1">
      <alignment wrapText="1"/>
      <protection locked="0"/>
    </xf>
    <xf numFmtId="0" fontId="57" fillId="0" borderId="36" xfId="0" applyFont="1" applyBorder="1" applyAlignment="1" applyProtection="1">
      <alignment horizontal="center" vertical="center"/>
      <protection hidden="1"/>
    </xf>
    <xf numFmtId="0" fontId="57" fillId="0" borderId="0" xfId="0" applyFont="1" applyAlignment="1" applyProtection="1">
      <alignment horizontal="center" vertical="center"/>
      <protection hidden="1"/>
    </xf>
    <xf numFmtId="0" fontId="57" fillId="0" borderId="0" xfId="0" applyFont="1" applyBorder="1" applyAlignment="1" applyProtection="1">
      <alignment horizontal="center" vertical="center"/>
      <protection hidden="1"/>
    </xf>
    <xf numFmtId="0" fontId="24" fillId="21" borderId="0" xfId="0" applyFont="1" applyFill="1" applyBorder="1" applyAlignment="1" applyProtection="1">
      <alignment vertical="center"/>
      <protection hidden="1"/>
    </xf>
    <xf numFmtId="0" fontId="0" fillId="0" borderId="0" xfId="0" applyAlignment="1" applyProtection="1">
      <alignment vertical="center"/>
      <protection hidden="1"/>
    </xf>
    <xf numFmtId="0" fontId="33" fillId="16" borderId="1" xfId="0" applyFont="1" applyFill="1" applyBorder="1" applyAlignment="1" applyProtection="1">
      <alignment vertical="center"/>
      <protection hidden="1"/>
    </xf>
    <xf numFmtId="0" fontId="0" fillId="0" borderId="3" xfId="0" applyBorder="1" applyAlignment="1" applyProtection="1">
      <alignment vertical="center"/>
      <protection hidden="1"/>
    </xf>
    <xf numFmtId="49" fontId="27" fillId="4" borderId="47" xfId="0" applyNumberFormat="1" applyFont="1" applyFill="1" applyBorder="1" applyAlignment="1" applyProtection="1">
      <alignment horizontal="left" vertical="center"/>
      <protection locked="0"/>
    </xf>
    <xf numFmtId="0" fontId="27" fillId="0" borderId="68" xfId="0" applyFont="1" applyBorder="1" applyAlignment="1" applyProtection="1">
      <alignment horizontal="left" vertical="center"/>
      <protection locked="0"/>
    </xf>
    <xf numFmtId="0" fontId="27" fillId="0" borderId="7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1" fontId="27" fillId="0" borderId="5" xfId="0" applyNumberFormat="1"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0" borderId="17" xfId="0" applyFont="1" applyBorder="1" applyAlignment="1" applyProtection="1">
      <alignment vertical="center"/>
      <protection locked="0"/>
    </xf>
    <xf numFmtId="0" fontId="26" fillId="21" borderId="2" xfId="0" applyFont="1" applyFill="1" applyBorder="1" applyAlignment="1" applyProtection="1">
      <alignment vertical="center"/>
      <protection hidden="1"/>
    </xf>
    <xf numFmtId="0" fontId="0" fillId="0" borderId="17" xfId="0" applyBorder="1" applyAlignment="1" applyProtection="1">
      <alignment vertical="center"/>
      <protection locked="0"/>
    </xf>
    <xf numFmtId="0" fontId="24" fillId="21" borderId="2" xfId="0" applyFont="1" applyFill="1" applyBorder="1" applyAlignment="1" applyProtection="1">
      <alignment vertical="center"/>
      <protection hidden="1"/>
    </xf>
    <xf numFmtId="0" fontId="39" fillId="21" borderId="2" xfId="0" applyFont="1" applyFill="1" applyBorder="1" applyAlignment="1" applyProtection="1">
      <alignment vertical="center"/>
      <protection hidden="1"/>
    </xf>
    <xf numFmtId="0" fontId="27" fillId="0" borderId="53" xfId="0" applyFont="1" applyBorder="1" applyAlignment="1" applyProtection="1">
      <alignment horizontal="left" vertical="center"/>
      <protection locked="0"/>
    </xf>
    <xf numFmtId="0" fontId="26" fillId="0" borderId="53"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26" fillId="0" borderId="53" xfId="0" applyFont="1" applyBorder="1" applyAlignment="1" applyProtection="1">
      <alignment vertical="center"/>
      <protection locked="0"/>
    </xf>
    <xf numFmtId="0" fontId="0" fillId="0" borderId="53" xfId="0" applyBorder="1" applyAlignment="1" applyProtection="1">
      <alignment vertical="center"/>
      <protection locked="0"/>
    </xf>
    <xf numFmtId="0" fontId="0" fillId="0" borderId="54" xfId="0" applyBorder="1" applyAlignment="1" applyProtection="1">
      <alignment vertical="center"/>
      <protection locked="0"/>
    </xf>
    <xf numFmtId="0" fontId="27" fillId="4" borderId="62" xfId="0" applyFont="1" applyFill="1" applyBorder="1" applyAlignment="1" applyProtection="1">
      <alignment horizontal="center"/>
      <protection locked="0"/>
    </xf>
    <xf numFmtId="0" fontId="0" fillId="0" borderId="70" xfId="0" applyBorder="1" applyAlignment="1" applyProtection="1">
      <protection locked="0"/>
    </xf>
    <xf numFmtId="0" fontId="27" fillId="0" borderId="70" xfId="0" applyFont="1"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27" fillId="4" borderId="70" xfId="0" applyFont="1" applyFill="1" applyBorder="1" applyAlignment="1" applyProtection="1">
      <alignment horizontal="center" vertical="center" wrapText="1"/>
      <protection locked="0"/>
    </xf>
    <xf numFmtId="0" fontId="0" fillId="0" borderId="74" xfId="0" applyBorder="1" applyAlignment="1" applyProtection="1">
      <alignment vertical="center" wrapText="1"/>
      <protection locked="0"/>
    </xf>
    <xf numFmtId="49" fontId="27" fillId="0" borderId="70" xfId="0" applyNumberFormat="1" applyFont="1"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27" fillId="0" borderId="70" xfId="0" applyFont="1" applyBorder="1" applyAlignment="1" applyProtection="1">
      <alignment vertical="center" wrapText="1"/>
      <protection locked="0"/>
    </xf>
    <xf numFmtId="0" fontId="27" fillId="0" borderId="66" xfId="0" applyFont="1" applyBorder="1" applyAlignment="1" applyProtection="1">
      <alignment wrapText="1"/>
      <protection locked="0"/>
    </xf>
    <xf numFmtId="0" fontId="33" fillId="16" borderId="1" xfId="0" applyFont="1" applyFill="1" applyBorder="1" applyAlignment="1" applyProtection="1">
      <alignment wrapText="1"/>
      <protection hidden="1"/>
    </xf>
    <xf numFmtId="0" fontId="0" fillId="0" borderId="2" xfId="0" applyBorder="1" applyAlignment="1" applyProtection="1">
      <alignment wrapText="1"/>
      <protection hidden="1"/>
    </xf>
    <xf numFmtId="0" fontId="0" fillId="0" borderId="3" xfId="0" applyBorder="1" applyAlignment="1" applyProtection="1">
      <alignment wrapText="1"/>
      <protection hidden="1"/>
    </xf>
    <xf numFmtId="0" fontId="27" fillId="17" borderId="41" xfId="0" applyFont="1" applyFill="1" applyBorder="1" applyAlignment="1" applyProtection="1">
      <alignment horizontal="left" vertical="center" wrapText="1"/>
      <protection hidden="1"/>
    </xf>
    <xf numFmtId="0" fontId="0" fillId="0" borderId="30" xfId="0" applyBorder="1" applyAlignment="1" applyProtection="1">
      <protection hidden="1"/>
    </xf>
    <xf numFmtId="0" fontId="0" fillId="0" borderId="42" xfId="0" applyBorder="1" applyAlignment="1" applyProtection="1">
      <protection hidden="1"/>
    </xf>
    <xf numFmtId="0" fontId="27" fillId="17" borderId="34" xfId="0" applyFont="1" applyFill="1" applyBorder="1" applyAlignment="1" applyProtection="1">
      <alignment vertical="center" wrapText="1"/>
      <protection hidden="1"/>
    </xf>
    <xf numFmtId="0" fontId="0" fillId="0" borderId="35" xfId="0" applyBorder="1" applyAlignment="1" applyProtection="1">
      <alignment vertical="center" wrapText="1"/>
      <protection hidden="1"/>
    </xf>
    <xf numFmtId="0" fontId="0" fillId="0" borderId="3" xfId="0" applyBorder="1" applyAlignment="1" applyProtection="1">
      <alignment horizontal="center" vertical="center"/>
      <protection hidden="1"/>
    </xf>
    <xf numFmtId="0" fontId="0" fillId="0" borderId="2" xfId="0" applyBorder="1" applyProtection="1">
      <protection hidden="1"/>
    </xf>
    <xf numFmtId="0" fontId="0" fillId="0" borderId="3" xfId="0" applyBorder="1" applyProtection="1">
      <protection hidden="1"/>
    </xf>
    <xf numFmtId="0" fontId="24" fillId="21" borderId="3" xfId="0" applyFont="1" applyFill="1" applyBorder="1" applyAlignment="1" applyProtection="1">
      <alignment vertical="center"/>
      <protection hidden="1"/>
    </xf>
    <xf numFmtId="0" fontId="27" fillId="4" borderId="34" xfId="0" applyFont="1" applyFill="1" applyBorder="1" applyProtection="1">
      <protection locked="0"/>
    </xf>
    <xf numFmtId="0" fontId="27" fillId="4" borderId="35" xfId="0" applyFont="1" applyFill="1" applyBorder="1" applyProtection="1">
      <protection locked="0"/>
    </xf>
    <xf numFmtId="0" fontId="27" fillId="4" borderId="28" xfId="0" applyFont="1" applyFill="1" applyBorder="1" applyProtection="1">
      <protection locked="0"/>
    </xf>
    <xf numFmtId="0" fontId="33" fillId="16" borderId="34" xfId="0" applyFont="1" applyFill="1" applyBorder="1" applyAlignment="1" applyProtection="1">
      <alignment horizontal="left"/>
      <protection hidden="1"/>
    </xf>
    <xf numFmtId="0" fontId="33" fillId="16" borderId="35" xfId="0" applyFont="1" applyFill="1" applyBorder="1" applyAlignment="1" applyProtection="1">
      <alignment horizontal="left"/>
      <protection hidden="1"/>
    </xf>
    <xf numFmtId="0" fontId="32" fillId="0" borderId="35" xfId="0" applyFont="1" applyBorder="1" applyAlignment="1" applyProtection="1">
      <alignment horizontal="left"/>
      <protection hidden="1"/>
    </xf>
    <xf numFmtId="0" fontId="32" fillId="0" borderId="28" xfId="0" applyFont="1" applyBorder="1" applyAlignment="1" applyProtection="1">
      <alignment horizontal="left"/>
      <protection hidden="1"/>
    </xf>
    <xf numFmtId="0" fontId="27" fillId="4" borderId="34" xfId="0" applyFont="1" applyFill="1" applyBorder="1" applyAlignment="1" applyProtection="1">
      <protection locked="0"/>
    </xf>
    <xf numFmtId="0" fontId="27" fillId="4" borderId="35" xfId="0" applyFont="1" applyFill="1" applyBorder="1" applyAlignment="1" applyProtection="1">
      <protection locked="0"/>
    </xf>
    <xf numFmtId="0" fontId="28" fillId="0" borderId="35" xfId="0" applyFont="1" applyBorder="1" applyAlignment="1" applyProtection="1">
      <protection locked="0"/>
    </xf>
    <xf numFmtId="0" fontId="28" fillId="0" borderId="28" xfId="0" applyFont="1" applyBorder="1" applyAlignment="1" applyProtection="1">
      <protection locked="0"/>
    </xf>
    <xf numFmtId="0" fontId="16" fillId="4" borderId="36" xfId="0" applyFont="1" applyFill="1" applyBorder="1" applyAlignment="1">
      <alignment wrapText="1"/>
    </xf>
    <xf numFmtId="0" fontId="0" fillId="0" borderId="36" xfId="0" applyBorder="1" applyAlignment="1"/>
    <xf numFmtId="0" fontId="6" fillId="4" borderId="30" xfId="0" applyFont="1" applyFill="1" applyBorder="1" applyAlignment="1"/>
    <xf numFmtId="0" fontId="0" fillId="0" borderId="30" xfId="0" applyBorder="1" applyAlignment="1"/>
    <xf numFmtId="0" fontId="53" fillId="0" borderId="30" xfId="0" applyFont="1" applyBorder="1" applyAlignment="1" applyProtection="1">
      <protection hidden="1"/>
    </xf>
    <xf numFmtId="0" fontId="6" fillId="4" borderId="0" xfId="0" applyFont="1" applyFill="1" applyBorder="1" applyAlignment="1"/>
    <xf numFmtId="0" fontId="0" fillId="0" borderId="0" xfId="0" applyBorder="1" applyAlignment="1"/>
    <xf numFmtId="49" fontId="27" fillId="0" borderId="60" xfId="0" applyNumberFormat="1" applyFont="1" applyBorder="1" applyAlignment="1" applyProtection="1">
      <alignment horizontal="left" vertical="center"/>
      <protection locked="0"/>
    </xf>
    <xf numFmtId="0" fontId="33" fillId="16" borderId="1" xfId="0" applyFont="1" applyFill="1" applyBorder="1" applyProtection="1">
      <protection hidden="1"/>
    </xf>
    <xf numFmtId="0" fontId="29" fillId="21" borderId="15" xfId="0" applyFont="1" applyFill="1" applyBorder="1" applyAlignment="1" applyProtection="1">
      <alignment vertical="center"/>
      <protection hidden="1"/>
    </xf>
    <xf numFmtId="0" fontId="2" fillId="21" borderId="5" xfId="0" applyFont="1" applyFill="1" applyBorder="1" applyAlignment="1" applyProtection="1">
      <alignment vertical="center"/>
      <protection hidden="1"/>
    </xf>
    <xf numFmtId="0" fontId="0" fillId="21" borderId="16" xfId="0" applyFill="1" applyBorder="1" applyProtection="1">
      <protection hidden="1"/>
    </xf>
    <xf numFmtId="0" fontId="27" fillId="4" borderId="5" xfId="0"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9" fillId="21" borderId="15" xfId="0" applyFont="1" applyFill="1" applyBorder="1" applyAlignment="1" applyProtection="1">
      <alignment horizontal="left" vertical="center"/>
      <protection hidden="1"/>
    </xf>
    <xf numFmtId="0" fontId="0" fillId="0" borderId="5" xfId="0" applyBorder="1" applyAlignment="1" applyProtection="1">
      <alignment horizontal="left"/>
      <protection hidden="1"/>
    </xf>
    <xf numFmtId="0" fontId="0" fillId="0" borderId="16" xfId="0" applyBorder="1" applyAlignment="1" applyProtection="1">
      <alignment horizontal="left"/>
      <protection hidden="1"/>
    </xf>
    <xf numFmtId="0" fontId="27" fillId="4" borderId="15" xfId="0" applyFont="1" applyFill="1" applyBorder="1" applyAlignment="1" applyProtection="1">
      <alignment horizontal="left" vertical="center" wrapText="1"/>
      <protection locked="0"/>
    </xf>
    <xf numFmtId="0" fontId="0" fillId="0" borderId="5" xfId="0" applyBorder="1" applyProtection="1">
      <protection locked="0"/>
    </xf>
    <xf numFmtId="0" fontId="0" fillId="0" borderId="73" xfId="0" applyBorder="1" applyProtection="1">
      <protection locked="0"/>
    </xf>
    <xf numFmtId="0" fontId="35" fillId="20" borderId="1" xfId="0" applyFont="1" applyFill="1" applyBorder="1" applyAlignment="1" applyProtection="1">
      <alignment horizontal="center"/>
      <protection locked="0"/>
    </xf>
    <xf numFmtId="0" fontId="35" fillId="20" borderId="2" xfId="0" applyFont="1" applyFill="1" applyBorder="1" applyAlignment="1" applyProtection="1">
      <alignment horizontal="center"/>
      <protection locked="0"/>
    </xf>
    <xf numFmtId="0" fontId="35" fillId="20" borderId="3" xfId="0" applyFont="1" applyFill="1" applyBorder="1" applyAlignment="1" applyProtection="1">
      <alignment horizontal="center"/>
      <protection locked="0"/>
    </xf>
    <xf numFmtId="0" fontId="0" fillId="16" borderId="35" xfId="0" applyFill="1" applyBorder="1" applyProtection="1">
      <protection hidden="1"/>
    </xf>
    <xf numFmtId="0" fontId="0" fillId="16" borderId="28" xfId="0" applyFill="1" applyBorder="1" applyProtection="1">
      <protection hidden="1"/>
    </xf>
    <xf numFmtId="0" fontId="58" fillId="0" borderId="51" xfId="0" applyFont="1" applyBorder="1" applyAlignment="1" applyProtection="1">
      <alignment horizontal="center" wrapText="1"/>
      <protection hidden="1"/>
    </xf>
    <xf numFmtId="0" fontId="58" fillId="0" borderId="59" xfId="0" applyFont="1" applyBorder="1" applyAlignment="1" applyProtection="1">
      <alignment horizontal="center" wrapText="1"/>
      <protection hidden="1"/>
    </xf>
    <xf numFmtId="0" fontId="58" fillId="0" borderId="60" xfId="0" applyFont="1" applyBorder="1" applyAlignment="1" applyProtection="1">
      <alignment horizontal="center" wrapText="1"/>
      <protection hidden="1"/>
    </xf>
    <xf numFmtId="0" fontId="27" fillId="0" borderId="0" xfId="0" applyFont="1" applyBorder="1" applyAlignment="1" applyProtection="1">
      <alignment vertical="center" wrapText="1"/>
      <protection locked="0"/>
    </xf>
    <xf numFmtId="0" fontId="27" fillId="0" borderId="53" xfId="0" applyFont="1" applyBorder="1" applyAlignment="1" applyProtection="1">
      <alignment vertical="center" wrapText="1"/>
      <protection locked="0"/>
    </xf>
    <xf numFmtId="0" fontId="0" fillId="0" borderId="53" xfId="0" applyBorder="1" applyProtection="1">
      <protection locked="0"/>
    </xf>
    <xf numFmtId="0" fontId="0" fillId="0" borderId="54" xfId="0" applyBorder="1" applyProtection="1">
      <protection locked="0"/>
    </xf>
    <xf numFmtId="0" fontId="33" fillId="16" borderId="71" xfId="0" applyFont="1" applyFill="1" applyBorder="1" applyProtection="1">
      <protection hidden="1"/>
    </xf>
    <xf numFmtId="0" fontId="0" fillId="0" borderId="17" xfId="0" applyBorder="1" applyProtection="1">
      <protection hidden="1"/>
    </xf>
    <xf numFmtId="0" fontId="26" fillId="21" borderId="0" xfId="0" applyFont="1" applyFill="1" applyAlignment="1" applyProtection="1">
      <alignment vertical="center"/>
      <protection hidden="1"/>
    </xf>
    <xf numFmtId="0" fontId="27" fillId="0" borderId="5" xfId="0" applyFont="1" applyBorder="1" applyAlignment="1" applyProtection="1">
      <alignment vertical="center"/>
      <protection locked="0"/>
    </xf>
    <xf numFmtId="0" fontId="0" fillId="0" borderId="5" xfId="0" applyBorder="1" applyAlignment="1" applyProtection="1">
      <alignment vertical="center"/>
      <protection locked="0"/>
    </xf>
    <xf numFmtId="0" fontId="24" fillId="21" borderId="5" xfId="0" applyFont="1" applyFill="1" applyBorder="1" applyAlignment="1" applyProtection="1">
      <alignment vertical="center"/>
      <protection hidden="1"/>
    </xf>
    <xf numFmtId="0" fontId="27" fillId="21" borderId="72" xfId="0" applyFont="1" applyFill="1" applyBorder="1" applyAlignment="1" applyProtection="1">
      <alignment vertical="center"/>
      <protection hidden="1"/>
    </xf>
    <xf numFmtId="0" fontId="0" fillId="0" borderId="2" xfId="0" applyBorder="1" applyAlignment="1" applyProtection="1">
      <protection hidden="1"/>
    </xf>
    <xf numFmtId="0" fontId="27" fillId="0" borderId="61" xfId="0" applyFont="1" applyBorder="1" applyAlignment="1" applyProtection="1">
      <alignment vertical="center" wrapText="1"/>
      <protection locked="0"/>
    </xf>
    <xf numFmtId="0" fontId="0" fillId="0" borderId="61" xfId="0" applyBorder="1" applyAlignment="1" applyProtection="1">
      <protection locked="0"/>
    </xf>
    <xf numFmtId="0" fontId="0" fillId="0" borderId="64" xfId="0" applyBorder="1" applyAlignment="1" applyProtection="1">
      <protection locked="0"/>
    </xf>
    <xf numFmtId="0" fontId="27" fillId="0" borderId="51"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24" fillId="20" borderId="15" xfId="0" applyFont="1" applyFill="1" applyBorder="1" applyAlignment="1" applyProtection="1">
      <alignment horizontal="center" vertical="center"/>
      <protection locked="0"/>
    </xf>
    <xf numFmtId="0" fontId="2" fillId="20" borderId="16" xfId="0" applyFont="1" applyFill="1" applyBorder="1" applyAlignment="1" applyProtection="1">
      <alignment vertical="center"/>
      <protection locked="0"/>
    </xf>
    <xf numFmtId="0" fontId="27" fillId="0" borderId="62" xfId="0" applyFont="1"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3" xfId="0" applyBorder="1" applyAlignment="1" applyProtection="1">
      <alignment vertical="center"/>
      <protection locked="0"/>
    </xf>
    <xf numFmtId="0" fontId="27" fillId="0" borderId="0" xfId="2" applyFont="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24" fillId="21" borderId="15" xfId="0" applyFont="1" applyFill="1"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46" fillId="4" borderId="0" xfId="2" applyFont="1" applyFill="1" applyBorder="1" applyAlignment="1" applyProtection="1">
      <alignment horizontal="left" vertical="center"/>
      <protection locked="0"/>
    </xf>
    <xf numFmtId="0" fontId="27" fillId="0" borderId="47" xfId="2" applyFont="1" applyBorder="1" applyAlignment="1" applyProtection="1">
      <alignment horizontal="left" vertical="center" wrapText="1"/>
      <protection locked="0"/>
    </xf>
    <xf numFmtId="0" fontId="46" fillId="4" borderId="47" xfId="2" applyFont="1" applyFill="1" applyBorder="1" applyAlignment="1" applyProtection="1">
      <alignment horizontal="left" vertical="center"/>
      <protection locked="0"/>
    </xf>
    <xf numFmtId="0" fontId="35" fillId="20" borderId="13" xfId="0" applyFont="1" applyFill="1" applyBorder="1" applyAlignment="1" applyProtection="1">
      <alignment horizontal="center"/>
      <protection locked="0"/>
    </xf>
    <xf numFmtId="0" fontId="31" fillId="20" borderId="13" xfId="0" applyFont="1" applyFill="1" applyBorder="1" applyAlignment="1" applyProtection="1">
      <alignment horizontal="center"/>
      <protection locked="0"/>
    </xf>
    <xf numFmtId="0" fontId="0" fillId="16" borderId="1" xfId="0" applyFill="1" applyBorder="1"/>
    <xf numFmtId="0" fontId="0" fillId="16" borderId="3" xfId="0" applyFill="1" applyBorder="1"/>
    <xf numFmtId="0" fontId="43" fillId="16" borderId="1" xfId="0" applyFont="1" applyFill="1" applyBorder="1" applyAlignment="1" applyProtection="1">
      <alignment vertical="center"/>
      <protection hidden="1"/>
    </xf>
    <xf numFmtId="0" fontId="3" fillId="16" borderId="2" xfId="0" applyFont="1" applyFill="1" applyBorder="1" applyAlignment="1" applyProtection="1">
      <alignment vertical="center"/>
      <protection hidden="1"/>
    </xf>
    <xf numFmtId="0" fontId="3" fillId="16" borderId="3" xfId="0" applyFont="1" applyFill="1" applyBorder="1" applyAlignment="1" applyProtection="1">
      <alignment vertical="center"/>
      <protection hidden="1"/>
    </xf>
    <xf numFmtId="0" fontId="27" fillId="0" borderId="46" xfId="0" applyFont="1" applyBorder="1" applyAlignment="1" applyProtection="1">
      <alignment horizontal="left" vertical="center"/>
      <protection locked="0"/>
    </xf>
    <xf numFmtId="0" fontId="26" fillId="0" borderId="46" xfId="0" applyFont="1" applyBorder="1" applyAlignment="1" applyProtection="1">
      <alignment horizontal="left" vertical="center"/>
      <protection locked="0"/>
    </xf>
    <xf numFmtId="0" fontId="0" fillId="0" borderId="46" xfId="0" applyBorder="1" applyAlignment="1" applyProtection="1">
      <alignment vertical="center"/>
      <protection locked="0"/>
    </xf>
    <xf numFmtId="0" fontId="0" fillId="0" borderId="2" xfId="0" applyBorder="1" applyAlignment="1">
      <alignment vertical="center"/>
    </xf>
    <xf numFmtId="0" fontId="44" fillId="21" borderId="2" xfId="0" applyFont="1" applyFill="1" applyBorder="1" applyAlignment="1" applyProtection="1">
      <alignment vertical="center"/>
      <protection hidden="1"/>
    </xf>
    <xf numFmtId="0" fontId="0" fillId="0" borderId="2" xfId="0" applyBorder="1" applyAlignment="1"/>
    <xf numFmtId="0" fontId="0" fillId="0" borderId="5" xfId="0" applyBorder="1" applyAlignment="1">
      <alignment vertical="center"/>
    </xf>
    <xf numFmtId="0" fontId="44" fillId="21" borderId="5" xfId="0" applyFont="1" applyFill="1" applyBorder="1" applyAlignment="1" applyProtection="1">
      <alignment vertical="center"/>
      <protection hidden="1"/>
    </xf>
    <xf numFmtId="0" fontId="27" fillId="0" borderId="71" xfId="0" applyFont="1" applyBorder="1" applyAlignment="1" applyProtection="1">
      <alignment vertical="center"/>
      <protection locked="0"/>
    </xf>
    <xf numFmtId="0" fontId="27" fillId="0" borderId="17" xfId="0" applyFont="1" applyBorder="1" applyAlignment="1" applyProtection="1">
      <alignment vertical="center"/>
      <protection locked="0"/>
    </xf>
    <xf numFmtId="0" fontId="27" fillId="0" borderId="69" xfId="0" applyFont="1" applyBorder="1" applyAlignment="1" applyProtection="1">
      <alignment vertical="center"/>
      <protection locked="0"/>
    </xf>
    <xf numFmtId="0" fontId="4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7" fillId="0" borderId="55" xfId="0" applyFont="1" applyBorder="1" applyAlignment="1" applyProtection="1">
      <alignment horizontal="left" vertical="center"/>
      <protection locked="0"/>
    </xf>
    <xf numFmtId="0" fontId="0" fillId="0" borderId="56" xfId="0" applyBorder="1" applyAlignment="1" applyProtection="1">
      <alignment vertical="center"/>
      <protection locked="0"/>
    </xf>
    <xf numFmtId="0" fontId="0" fillId="0" borderId="80" xfId="0" applyBorder="1" applyAlignment="1" applyProtection="1">
      <alignment vertical="center"/>
      <protection locked="0"/>
    </xf>
    <xf numFmtId="0" fontId="24" fillId="21" borderId="65" xfId="0" applyFont="1" applyFill="1" applyBorder="1" applyAlignment="1" applyProtection="1">
      <alignment horizontal="left" vertical="center"/>
      <protection hidden="1"/>
    </xf>
    <xf numFmtId="0" fontId="0" fillId="0" borderId="67" xfId="0" applyBorder="1" applyAlignment="1" applyProtection="1">
      <alignment horizontal="left" vertical="center"/>
      <protection hidden="1"/>
    </xf>
    <xf numFmtId="0" fontId="27" fillId="4" borderId="81" xfId="0" applyFont="1" applyFill="1"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39" fillId="21" borderId="57" xfId="0" applyFont="1" applyFill="1" applyBorder="1" applyAlignment="1" applyProtection="1">
      <alignment vertical="center"/>
      <protection hidden="1"/>
    </xf>
    <xf numFmtId="0" fontId="46" fillId="4" borderId="52" xfId="2" applyFont="1" applyFill="1" applyBorder="1" applyAlignment="1" applyProtection="1">
      <alignment horizontal="left" vertical="center"/>
      <protection locked="0"/>
    </xf>
    <xf numFmtId="0" fontId="27" fillId="0" borderId="53" xfId="0" applyFont="1" applyBorder="1" applyAlignment="1" applyProtection="1">
      <alignment vertical="center"/>
      <protection locked="0"/>
    </xf>
    <xf numFmtId="0" fontId="27" fillId="0" borderId="54" xfId="0" applyFont="1" applyBorder="1" applyAlignment="1" applyProtection="1">
      <alignment vertical="center"/>
      <protection locked="0"/>
    </xf>
    <xf numFmtId="0" fontId="27" fillId="21" borderId="3" xfId="0" applyFont="1" applyFill="1" applyBorder="1" applyAlignment="1" applyProtection="1">
      <alignment vertical="center"/>
      <protection hidden="1"/>
    </xf>
    <xf numFmtId="0" fontId="26" fillId="21" borderId="1" xfId="0" applyFont="1" applyFill="1" applyBorder="1" applyAlignment="1" applyProtection="1">
      <alignment vertical="center"/>
      <protection hidden="1"/>
    </xf>
    <xf numFmtId="0" fontId="27" fillId="0" borderId="46" xfId="0" applyFont="1" applyBorder="1" applyAlignment="1" applyProtection="1">
      <alignment vertical="center"/>
      <protection locked="0"/>
    </xf>
    <xf numFmtId="0" fontId="0" fillId="0" borderId="47" xfId="0" applyBorder="1" applyAlignment="1" applyProtection="1">
      <alignment vertical="center"/>
      <protection locked="0"/>
    </xf>
    <xf numFmtId="0" fontId="24" fillId="21" borderId="13" xfId="0" applyFont="1" applyFill="1" applyBorder="1" applyAlignment="1" applyProtection="1">
      <alignment vertical="center"/>
      <protection hidden="1"/>
    </xf>
    <xf numFmtId="0" fontId="0" fillId="21" borderId="13" xfId="0" applyFill="1" applyBorder="1" applyAlignment="1" applyProtection="1">
      <alignment vertical="center"/>
      <protection hidden="1"/>
    </xf>
    <xf numFmtId="0" fontId="0" fillId="21" borderId="1" xfId="0" applyFill="1" applyBorder="1" applyAlignment="1" applyProtection="1">
      <alignment vertical="center"/>
      <protection hidden="1"/>
    </xf>
    <xf numFmtId="0" fontId="26" fillId="0" borderId="51" xfId="0" applyFont="1" applyBorder="1" applyAlignment="1" applyProtection="1">
      <alignment vertical="center"/>
      <protection locked="0"/>
    </xf>
    <xf numFmtId="0" fontId="27" fillId="4" borderId="55" xfId="0" applyFont="1" applyFill="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27" fillId="21" borderId="13" xfId="0" applyFont="1" applyFill="1" applyBorder="1" applyAlignment="1" applyProtection="1">
      <alignment vertical="center"/>
      <protection hidden="1"/>
    </xf>
    <xf numFmtId="0" fontId="26" fillId="21" borderId="13" xfId="0" applyFont="1" applyFill="1" applyBorder="1" applyAlignment="1" applyProtection="1">
      <alignment vertical="center"/>
      <protection hidden="1"/>
    </xf>
    <xf numFmtId="0" fontId="29" fillId="21" borderId="57" xfId="0" applyFont="1" applyFill="1" applyBorder="1" applyAlignment="1" applyProtection="1">
      <alignment vertical="center"/>
      <protection hidden="1"/>
    </xf>
    <xf numFmtId="0" fontId="0" fillId="0" borderId="79" xfId="0" applyBorder="1" applyAlignment="1" applyProtection="1">
      <alignment vertical="center"/>
      <protection hidden="1"/>
    </xf>
    <xf numFmtId="0" fontId="24" fillId="21" borderId="65" xfId="0" applyFont="1" applyFill="1" applyBorder="1" applyAlignment="1" applyProtection="1">
      <alignment vertical="center"/>
      <protection hidden="1"/>
    </xf>
    <xf numFmtId="0" fontId="0" fillId="0" borderId="66" xfId="0" applyBorder="1" applyAlignment="1" applyProtection="1">
      <alignment vertical="center"/>
      <protection hidden="1"/>
    </xf>
    <xf numFmtId="0" fontId="27" fillId="0" borderId="51" xfId="0" applyFont="1" applyBorder="1" applyAlignment="1" applyProtection="1">
      <alignment vertical="center"/>
      <protection locked="0"/>
    </xf>
    <xf numFmtId="0" fontId="27" fillId="0" borderId="52" xfId="0" applyFont="1" applyBorder="1" applyAlignment="1" applyProtection="1">
      <alignment vertical="center"/>
      <protection locked="0"/>
    </xf>
    <xf numFmtId="0" fontId="24" fillId="21" borderId="57" xfId="0" applyFont="1" applyFill="1" applyBorder="1" applyAlignment="1" applyProtection="1">
      <alignment vertical="center"/>
      <protection hidden="1"/>
    </xf>
    <xf numFmtId="0" fontId="0" fillId="21" borderId="79" xfId="0" applyFill="1" applyBorder="1" applyAlignment="1" applyProtection="1">
      <alignment vertical="center"/>
      <protection hidden="1"/>
    </xf>
    <xf numFmtId="0" fontId="58" fillId="0" borderId="61" xfId="0" applyFont="1" applyBorder="1" applyAlignment="1" applyProtection="1">
      <alignment horizontal="left" vertical="center" wrapText="1"/>
      <protection hidden="1"/>
    </xf>
    <xf numFmtId="0" fontId="59" fillId="0" borderId="61" xfId="0" applyFont="1" applyBorder="1" applyAlignment="1" applyProtection="1">
      <alignment horizontal="left"/>
      <protection hidden="1"/>
    </xf>
    <xf numFmtId="0" fontId="27" fillId="0" borderId="46" xfId="0" applyFont="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27" fillId="4" borderId="49"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49" fontId="27" fillId="0" borderId="49" xfId="0" applyNumberFormat="1" applyFont="1" applyBorder="1" applyAlignment="1" applyProtection="1">
      <alignment horizontal="left" vertical="center"/>
      <protection locked="0"/>
    </xf>
    <xf numFmtId="0" fontId="30" fillId="4" borderId="0" xfId="0" applyFont="1" applyFill="1" applyAlignment="1" applyProtection="1">
      <alignment horizontal="left"/>
      <protection hidden="1"/>
    </xf>
    <xf numFmtId="0" fontId="0" fillId="0" borderId="0" xfId="0" applyAlignment="1" applyProtection="1">
      <alignment horizontal="left"/>
      <protection hidden="1"/>
    </xf>
    <xf numFmtId="0" fontId="31" fillId="4" borderId="0" xfId="0" applyFont="1" applyFill="1" applyAlignment="1" applyProtection="1">
      <alignment horizontal="left"/>
      <protection hidden="1"/>
    </xf>
    <xf numFmtId="0" fontId="27" fillId="4" borderId="0" xfId="0" applyFont="1" applyFill="1" applyProtection="1">
      <protection hidden="1"/>
    </xf>
    <xf numFmtId="0" fontId="0" fillId="0" borderId="0" xfId="0" applyProtection="1">
      <protection hidden="1"/>
    </xf>
    <xf numFmtId="0" fontId="6" fillId="4" borderId="17" xfId="0" applyFont="1" applyFill="1" applyBorder="1"/>
    <xf numFmtId="0" fontId="0" fillId="0" borderId="17" xfId="0" applyBorder="1"/>
    <xf numFmtId="0" fontId="28" fillId="21" borderId="2" xfId="0" applyFont="1" applyFill="1" applyBorder="1" applyAlignment="1" applyProtection="1">
      <alignment vertical="center"/>
      <protection hidden="1"/>
    </xf>
    <xf numFmtId="0" fontId="27" fillId="0" borderId="17" xfId="0" applyFont="1" applyBorder="1" applyAlignment="1" applyProtection="1">
      <alignment horizontal="left" vertical="center"/>
      <protection locked="0"/>
    </xf>
    <xf numFmtId="0" fontId="27" fillId="0" borderId="23"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43" fillId="0" borderId="0" xfId="0" applyFont="1" applyFill="1" applyBorder="1" applyAlignment="1" applyProtection="1"/>
    <xf numFmtId="0" fontId="3" fillId="0" borderId="0" xfId="0" applyFont="1" applyFill="1" applyBorder="1" applyAlignment="1" applyProtection="1"/>
    <xf numFmtId="0" fontId="27" fillId="0" borderId="66" xfId="0" applyFont="1" applyBorder="1" applyAlignment="1" applyProtection="1">
      <alignment horizontal="left" vertical="center"/>
      <protection locked="0"/>
    </xf>
    <xf numFmtId="0" fontId="0" fillId="0" borderId="66" xfId="0" applyBorder="1" applyAlignment="1" applyProtection="1">
      <alignment vertical="center"/>
      <protection locked="0"/>
    </xf>
    <xf numFmtId="0" fontId="11" fillId="21" borderId="2" xfId="0" applyFont="1" applyFill="1" applyBorder="1" applyAlignment="1" applyProtection="1">
      <alignment vertical="center"/>
      <protection hidden="1"/>
    </xf>
    <xf numFmtId="0" fontId="27" fillId="0" borderId="66" xfId="0" applyFont="1" applyFill="1" applyBorder="1" applyAlignment="1" applyProtection="1">
      <alignment horizontal="left" vertical="center"/>
      <protection locked="0"/>
    </xf>
    <xf numFmtId="0" fontId="11" fillId="0" borderId="66" xfId="0" applyFont="1" applyBorder="1" applyAlignment="1" applyProtection="1">
      <alignment vertical="center"/>
      <protection locked="0"/>
    </xf>
    <xf numFmtId="0" fontId="36" fillId="21" borderId="3" xfId="0" applyFont="1" applyFill="1" applyBorder="1" applyAlignment="1" applyProtection="1">
      <alignment horizontal="left" vertical="center"/>
      <protection hidden="1"/>
    </xf>
    <xf numFmtId="0" fontId="27" fillId="4" borderId="0" xfId="0" applyFont="1" applyFill="1" applyBorder="1" applyAlignment="1" applyProtection="1">
      <alignment horizontal="left" vertical="center"/>
      <protection locked="0"/>
    </xf>
    <xf numFmtId="0" fontId="27" fillId="0" borderId="49" xfId="0" applyFont="1" applyBorder="1" applyAlignment="1" applyProtection="1">
      <alignment vertical="center"/>
      <protection locked="0"/>
    </xf>
    <xf numFmtId="0" fontId="0" fillId="0" borderId="2" xfId="0" applyBorder="1" applyAlignment="1" applyProtection="1">
      <protection locked="0"/>
    </xf>
    <xf numFmtId="0" fontId="27" fillId="0" borderId="22" xfId="0" applyFont="1" applyBorder="1" applyAlignment="1" applyProtection="1">
      <alignment vertical="center" wrapText="1"/>
      <protection locked="0"/>
    </xf>
    <xf numFmtId="0" fontId="36" fillId="0" borderId="2" xfId="0" applyFont="1" applyBorder="1" applyAlignment="1" applyProtection="1">
      <alignment vertical="center"/>
      <protection locked="0"/>
    </xf>
    <xf numFmtId="0" fontId="27" fillId="0" borderId="75"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85" xfId="0" applyBorder="1" applyAlignment="1" applyProtection="1">
      <alignment vertical="center" wrapText="1"/>
      <protection locked="0"/>
    </xf>
    <xf numFmtId="0" fontId="27" fillId="4" borderId="49" xfId="0" applyFont="1" applyFill="1" applyBorder="1" applyAlignment="1" applyProtection="1">
      <alignment horizontal="center" vertical="center"/>
      <protection locked="0"/>
    </xf>
    <xf numFmtId="0" fontId="0" fillId="0" borderId="50" xfId="0" applyBorder="1" applyAlignment="1" applyProtection="1">
      <protection locked="0"/>
    </xf>
    <xf numFmtId="0" fontId="27" fillId="4" borderId="49" xfId="0" applyFont="1" applyFill="1" applyBorder="1" applyAlignment="1" applyProtection="1">
      <alignment vertical="center"/>
      <protection locked="0"/>
    </xf>
    <xf numFmtId="0" fontId="11" fillId="0" borderId="2" xfId="0" applyFont="1" applyBorder="1" applyAlignment="1" applyProtection="1">
      <protection locked="0"/>
    </xf>
    <xf numFmtId="0" fontId="23" fillId="18" borderId="6" xfId="0" applyFont="1" applyFill="1" applyBorder="1" applyAlignment="1">
      <alignment horizontal="center" vertical="center" wrapText="1"/>
    </xf>
    <xf numFmtId="165" fontId="23" fillId="18" borderId="6" xfId="1" applyNumberFormat="1" applyFont="1" applyFill="1" applyBorder="1" applyAlignment="1">
      <alignment horizontal="center" vertical="center"/>
    </xf>
    <xf numFmtId="0" fontId="0" fillId="0" borderId="0" xfId="0" applyAlignment="1">
      <alignment wrapText="1"/>
    </xf>
  </cellXfs>
  <cellStyles count="4">
    <cellStyle name="Hipervínculo" xfId="2" builtinId="8"/>
    <cellStyle name="Millares" xfId="1" builtinId="3"/>
    <cellStyle name="Normal" xfId="0" builtinId="0"/>
    <cellStyle name="Normal 2"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526677</xdr:colOff>
      <xdr:row>0</xdr:row>
      <xdr:rowOff>0</xdr:rowOff>
    </xdr:from>
    <xdr:to>
      <xdr:col>19</xdr:col>
      <xdr:colOff>672356</xdr:colOff>
      <xdr:row>6</xdr:row>
      <xdr:rowOff>121145</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1883" y="0"/>
          <a:ext cx="2476501" cy="1398616"/>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228600</xdr:colOff>
          <xdr:row>1</xdr:row>
          <xdr:rowOff>9525</xdr:rowOff>
        </xdr:from>
        <xdr:to>
          <xdr:col>10</xdr:col>
          <xdr:colOff>381000</xdr:colOff>
          <xdr:row>2</xdr:row>
          <xdr:rowOff>66675</xdr:rowOff>
        </xdr:to>
        <xdr:sp macro="" textlink="">
          <xdr:nvSpPr>
            <xdr:cNvPr id="1061" name="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PA" sz="1600" b="0" i="0" u="none" strike="noStrike" baseline="0">
                  <a:solidFill>
                    <a:srgbClr val="000080"/>
                  </a:solidFill>
                  <a:latin typeface="Arial"/>
                  <a:cs typeface="Arial"/>
                </a:rPr>
                <a:t>Limpiar hoja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457200</xdr:colOff>
          <xdr:row>1</xdr:row>
          <xdr:rowOff>9525</xdr:rowOff>
        </xdr:from>
        <xdr:to>
          <xdr:col>13</xdr:col>
          <xdr:colOff>304800</xdr:colOff>
          <xdr:row>2</xdr:row>
          <xdr:rowOff>66675</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PA" sz="1600" b="0" i="0" u="none" strike="noStrike" baseline="0">
                  <a:solidFill>
                    <a:srgbClr val="000080"/>
                  </a:solidFill>
                  <a:latin typeface="Arial"/>
                  <a:cs typeface="Arial"/>
                </a:rPr>
                <a:t>Imprimir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assuki/OneDrive%20-%20Seguros%20Suramericana,%20S.A/procesos/Solucion%20Empresarial/Solicitud%20de%20PYME%20%20persona%20nat%20aviso%20de%20operaci&#243;n%20version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ramericana-my.sharepoint.com/personal/mdassuki_sura_com_pa/Documents/procesos/Solucion%20Empresarial/AP%20paquetes%20para%20au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solicitud"/>
      <sheetName val="mensajes"/>
      <sheetName val="tablas con ponderaciones"/>
      <sheetName val="parametros nat con aviso"/>
      <sheetName val="Tabla ID"/>
      <sheetName val="tablas"/>
      <sheetName val="tabla direccion"/>
      <sheetName val="textos de autorizaciones"/>
      <sheetName val="Solicitud de PYME  persona nat "/>
    </sheetNames>
    <sheetDataSet>
      <sheetData sheetId="0"/>
      <sheetData sheetId="1"/>
      <sheetData sheetId="2"/>
      <sheetData sheetId="3"/>
      <sheetData sheetId="4"/>
      <sheetData sheetId="5">
        <row r="2">
          <cell r="K2" t="str">
            <v>Jurídica</v>
          </cell>
        </row>
        <row r="3">
          <cell r="K3" t="str">
            <v>Natural</v>
          </cell>
        </row>
      </sheetData>
      <sheetData sheetId="6"/>
      <sheetData sheetId="7">
        <row r="2">
          <cell r="A2" t="str">
            <v>Panamá</v>
          </cell>
        </row>
      </sheetData>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3">
          <cell r="F3">
            <v>1.6</v>
          </cell>
        </row>
        <row r="10">
          <cell r="U10">
            <v>500</v>
          </cell>
          <cell r="V10" t="str">
            <v>Conductor</v>
          </cell>
          <cell r="W10">
            <v>12</v>
          </cell>
        </row>
        <row r="11">
          <cell r="U11">
            <v>1000</v>
          </cell>
          <cell r="V11" t="str">
            <v>Conductor</v>
          </cell>
          <cell r="W11">
            <v>21.58</v>
          </cell>
        </row>
        <row r="12">
          <cell r="U12">
            <v>1500</v>
          </cell>
          <cell r="V12" t="str">
            <v>Conductor</v>
          </cell>
          <cell r="W12">
            <v>27</v>
          </cell>
        </row>
        <row r="13">
          <cell r="U13">
            <v>2000</v>
          </cell>
          <cell r="V13" t="str">
            <v>Conductor</v>
          </cell>
          <cell r="W13">
            <v>39.5</v>
          </cell>
        </row>
        <row r="14">
          <cell r="U14">
            <v>2500</v>
          </cell>
          <cell r="V14" t="str">
            <v>Conductor</v>
          </cell>
          <cell r="W14">
            <v>45</v>
          </cell>
        </row>
        <row r="15">
          <cell r="U15">
            <v>3000</v>
          </cell>
          <cell r="V15" t="str">
            <v>Conductor</v>
          </cell>
          <cell r="W15">
            <v>53.5</v>
          </cell>
        </row>
      </sheetData>
      <sheetData sheetId="1">
        <row r="16">
          <cell r="D16">
            <v>1000</v>
          </cell>
          <cell r="E16">
            <v>2000</v>
          </cell>
          <cell r="F16">
            <v>3000</v>
          </cell>
          <cell r="G16">
            <v>4000</v>
          </cell>
        </row>
        <row r="17">
          <cell r="D17">
            <v>500</v>
          </cell>
          <cell r="E17">
            <v>500</v>
          </cell>
          <cell r="F17">
            <v>500</v>
          </cell>
          <cell r="G17">
            <v>500</v>
          </cell>
        </row>
      </sheetData>
    </sheetDataSet>
  </externalBook>
</externalLink>
</file>

<file path=xl/theme/theme1.xml><?xml version="1.0" encoding="utf-8"?>
<a:theme xmlns:a="http://schemas.openxmlformats.org/drawingml/2006/main" name="Tema de Office">
  <a:themeElements>
    <a:clrScheme name="colores sura">
      <a:dk1>
        <a:srgbClr val="656867"/>
      </a:dk1>
      <a:lt1>
        <a:srgbClr val="FFFFFF"/>
      </a:lt1>
      <a:dk2>
        <a:srgbClr val="768692"/>
      </a:dk2>
      <a:lt2>
        <a:srgbClr val="C7C9C7"/>
      </a:lt2>
      <a:accent1>
        <a:srgbClr val="0033A0"/>
      </a:accent1>
      <a:accent2>
        <a:srgbClr val="E3E829"/>
      </a:accent2>
      <a:accent3>
        <a:srgbClr val="00AEC7"/>
      </a:accent3>
      <a:accent4>
        <a:srgbClr val="707372"/>
      </a:accent4>
      <a:accent5>
        <a:srgbClr val="ED8B00"/>
      </a:accent5>
      <a:accent6>
        <a:srgbClr val="78BE20"/>
      </a:accent6>
      <a:hlink>
        <a:srgbClr val="4EC3FF"/>
      </a:hlink>
      <a:folHlink>
        <a:srgbClr val="F942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10"/>
  <sheetViews>
    <sheetView workbookViewId="0">
      <selection activeCell="B3" sqref="B3"/>
    </sheetView>
  </sheetViews>
  <sheetFormatPr baseColWidth="10" defaultRowHeight="15" x14ac:dyDescent="0.25"/>
  <cols>
    <col min="2" max="2" width="84.140625" customWidth="1"/>
  </cols>
  <sheetData>
    <row r="1" spans="1:2" x14ac:dyDescent="0.25">
      <c r="A1" s="215" t="s">
        <v>1889</v>
      </c>
      <c r="B1" s="215"/>
    </row>
    <row r="2" spans="1:2" ht="40.5" customHeight="1" x14ac:dyDescent="0.25">
      <c r="A2" s="107">
        <v>1</v>
      </c>
      <c r="B2" s="108" t="s">
        <v>1894</v>
      </c>
    </row>
    <row r="3" spans="1:2" ht="51" customHeight="1" x14ac:dyDescent="0.25">
      <c r="A3" s="107">
        <v>2</v>
      </c>
      <c r="B3" s="108" t="s">
        <v>1895</v>
      </c>
    </row>
    <row r="4" spans="1:2" ht="38.25" x14ac:dyDescent="0.25">
      <c r="A4" s="107">
        <v>3</v>
      </c>
      <c r="B4" s="108" t="s">
        <v>1504</v>
      </c>
    </row>
    <row r="5" spans="1:2" ht="25.5" x14ac:dyDescent="0.25">
      <c r="A5" s="109">
        <v>4</v>
      </c>
      <c r="B5" s="110" t="s">
        <v>1886</v>
      </c>
    </row>
    <row r="6" spans="1:2" ht="38.25" x14ac:dyDescent="0.25">
      <c r="A6" s="109">
        <v>5</v>
      </c>
      <c r="B6" s="110" t="s">
        <v>1891</v>
      </c>
    </row>
    <row r="7" spans="1:2" s="106" customFormat="1" ht="38.25" x14ac:dyDescent="0.25">
      <c r="A7" s="109">
        <v>6</v>
      </c>
      <c r="B7" s="110" t="s">
        <v>1892</v>
      </c>
    </row>
    <row r="8" spans="1:2" x14ac:dyDescent="0.25">
      <c r="A8" s="109">
        <v>7</v>
      </c>
      <c r="B8" s="110" t="s">
        <v>1887</v>
      </c>
    </row>
    <row r="9" spans="1:2" ht="25.5" x14ac:dyDescent="0.25">
      <c r="A9" s="109">
        <v>8</v>
      </c>
      <c r="B9" s="110" t="s">
        <v>1888</v>
      </c>
    </row>
    <row r="10" spans="1:2" x14ac:dyDescent="0.25">
      <c r="A10" s="214"/>
    </row>
  </sheetData>
  <sheetProtection algorithmName="SHA-512" hashValue="9tOZwp3P5q1ErtqQqa6XVzc1MnSYMyLmRfFvZzxRfhmlWb8BSk31hCPGdsXhgV08zkOnwEn0J1vOrGSYWd2jTg==" saltValue="w9pFOdkpKCb1dL+LX0JYpA==" spinCount="100000" sheet="1" objects="1" scenarios="1"/>
  <mergeCells count="1">
    <mergeCell ref="A1:B1"/>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52"/>
  <sheetViews>
    <sheetView tabSelected="1" zoomScale="90" zoomScaleNormal="90" zoomScaleSheetLayoutView="85" zoomScalePageLayoutView="70" workbookViewId="0">
      <selection activeCell="P48" sqref="P48:R48"/>
    </sheetView>
  </sheetViews>
  <sheetFormatPr baseColWidth="10" defaultRowHeight="15" outlineLevelRow="2" x14ac:dyDescent="0.25"/>
  <cols>
    <col min="1" max="1" width="5.42578125" customWidth="1"/>
    <col min="2" max="2" width="9.7109375" customWidth="1"/>
    <col min="3" max="3" width="11" customWidth="1"/>
    <col min="4" max="4" width="8.7109375" customWidth="1"/>
    <col min="5" max="5" width="11.85546875" customWidth="1"/>
    <col min="6" max="6" width="8.7109375" customWidth="1"/>
    <col min="7" max="7" width="11" customWidth="1"/>
    <col min="8" max="8" width="10.85546875" customWidth="1"/>
    <col min="9" max="9" width="8" customWidth="1"/>
    <col min="10" max="10" width="8.42578125" customWidth="1"/>
    <col min="11" max="11" width="6" customWidth="1"/>
    <col min="12" max="12" width="11.140625" customWidth="1"/>
    <col min="13" max="13" width="7.85546875" customWidth="1"/>
    <col min="14" max="14" width="9.28515625" customWidth="1"/>
    <col min="15" max="15" width="9" customWidth="1"/>
    <col min="16" max="16" width="10.140625" customWidth="1"/>
    <col min="17" max="17" width="11" customWidth="1"/>
    <col min="18" max="18" width="9" customWidth="1"/>
    <col min="19" max="19" width="4.85546875" customWidth="1"/>
    <col min="20" max="20" width="11.140625" customWidth="1"/>
    <col min="21" max="21" width="12.5703125" style="119" customWidth="1"/>
    <col min="22" max="22" width="12.85546875" style="119" customWidth="1"/>
    <col min="23" max="23" width="7.5703125" style="119" customWidth="1"/>
    <col min="24" max="24" width="6" style="119" customWidth="1"/>
    <col min="25" max="25" width="5.28515625" style="119" customWidth="1"/>
    <col min="26" max="26" width="7.42578125" style="119" customWidth="1"/>
    <col min="27" max="27" width="4.85546875" style="119" customWidth="1"/>
    <col min="28" max="28" width="7.7109375" style="119" customWidth="1"/>
    <col min="29" max="29" width="10.85546875" style="119" customWidth="1"/>
    <col min="30" max="30" width="4.85546875" style="119" customWidth="1"/>
    <col min="31" max="31" width="12.42578125" style="119" customWidth="1"/>
    <col min="32" max="32" width="6.140625" style="119" customWidth="1"/>
    <col min="33" max="33" width="11.140625" style="119" customWidth="1"/>
    <col min="34" max="41" width="11.42578125" style="113"/>
    <col min="42" max="49" width="11.42578125" style="27"/>
  </cols>
  <sheetData>
    <row r="1" spans="1:39" s="121" customFormat="1" ht="8.25" customHeight="1" x14ac:dyDescent="0.2">
      <c r="A1" s="299"/>
      <c r="B1" s="280"/>
      <c r="C1" s="280"/>
      <c r="D1" s="280"/>
      <c r="E1" s="280"/>
      <c r="F1" s="280"/>
      <c r="G1" s="280"/>
      <c r="H1" s="280"/>
      <c r="I1" s="280"/>
      <c r="J1" s="280"/>
      <c r="K1" s="280"/>
      <c r="L1" s="280"/>
      <c r="M1" s="280"/>
      <c r="N1" s="280"/>
      <c r="O1" s="280"/>
      <c r="P1" s="280"/>
      <c r="Q1" s="280"/>
      <c r="R1" s="280"/>
      <c r="S1" s="280"/>
      <c r="T1" s="280"/>
      <c r="U1" s="143"/>
      <c r="V1" s="143"/>
      <c r="W1" s="143"/>
      <c r="X1" s="143"/>
      <c r="Y1" s="143"/>
      <c r="Z1" s="143"/>
      <c r="AA1" s="143"/>
      <c r="AB1" s="143"/>
      <c r="AC1" s="143"/>
      <c r="AD1" s="143"/>
      <c r="AE1" s="143"/>
      <c r="AF1" s="143"/>
      <c r="AG1" s="143"/>
      <c r="AH1" s="179"/>
      <c r="AI1" s="179"/>
      <c r="AJ1" s="179"/>
      <c r="AK1" s="179"/>
      <c r="AL1" s="179"/>
      <c r="AM1" s="179"/>
    </row>
    <row r="2" spans="1:39" s="121" customFormat="1" x14ac:dyDescent="0.25">
      <c r="A2" s="280"/>
      <c r="B2" s="280"/>
      <c r="C2" s="280"/>
      <c r="D2" s="280"/>
      <c r="E2" s="280"/>
      <c r="F2" s="280"/>
      <c r="G2" s="280"/>
      <c r="H2" s="280"/>
      <c r="I2" s="280"/>
      <c r="J2" s="280"/>
      <c r="K2" s="280"/>
      <c r="L2" s="280"/>
      <c r="M2" s="280"/>
      <c r="N2" s="280"/>
      <c r="O2" s="280"/>
      <c r="P2" s="280"/>
      <c r="Q2" s="280"/>
      <c r="R2" s="280"/>
      <c r="S2" s="280"/>
      <c r="T2" s="280"/>
      <c r="U2" s="180"/>
      <c r="V2" s="143"/>
      <c r="W2" s="143"/>
      <c r="X2" s="143"/>
      <c r="Y2" s="143"/>
      <c r="Z2" s="143"/>
      <c r="AA2" s="143"/>
      <c r="AB2" s="143"/>
      <c r="AC2" s="143"/>
      <c r="AD2" s="143"/>
      <c r="AE2" s="143"/>
      <c r="AF2" s="143"/>
      <c r="AG2" s="143"/>
      <c r="AH2" s="179"/>
      <c r="AI2" s="179"/>
      <c r="AJ2" s="179"/>
      <c r="AK2" s="179"/>
      <c r="AL2" s="179"/>
      <c r="AM2" s="179"/>
    </row>
    <row r="3" spans="1:39" s="121" customFormat="1" ht="26.25" x14ac:dyDescent="0.4">
      <c r="A3" s="585" t="s">
        <v>2021</v>
      </c>
      <c r="B3" s="586"/>
      <c r="C3" s="586"/>
      <c r="D3" s="586"/>
      <c r="E3" s="586"/>
      <c r="F3" s="586"/>
      <c r="G3" s="586"/>
      <c r="H3" s="586"/>
      <c r="I3" s="586"/>
      <c r="J3" s="586"/>
      <c r="K3" s="586"/>
      <c r="L3" s="586"/>
      <c r="M3" s="586"/>
      <c r="N3" s="586"/>
      <c r="O3" s="586"/>
      <c r="P3" s="586"/>
      <c r="Q3" s="586"/>
      <c r="R3" s="586"/>
      <c r="S3" s="586"/>
      <c r="T3" s="586"/>
      <c r="U3" s="181"/>
      <c r="V3" s="182"/>
      <c r="W3" s="183"/>
      <c r="X3" s="184"/>
      <c r="Y3" s="184"/>
      <c r="Z3" s="184"/>
      <c r="AA3" s="184"/>
      <c r="AB3" s="184"/>
      <c r="AC3" s="184"/>
      <c r="AD3" s="185"/>
      <c r="AE3" s="143"/>
      <c r="AF3" s="143"/>
      <c r="AG3" s="143"/>
      <c r="AH3" s="179"/>
      <c r="AI3" s="179"/>
      <c r="AJ3" s="179"/>
      <c r="AK3" s="179"/>
      <c r="AL3" s="179"/>
      <c r="AM3" s="179"/>
    </row>
    <row r="4" spans="1:39" s="121" customFormat="1" ht="23.25" x14ac:dyDescent="0.35">
      <c r="A4" s="587" t="s">
        <v>1919</v>
      </c>
      <c r="B4" s="586"/>
      <c r="C4" s="586"/>
      <c r="D4" s="586"/>
      <c r="E4" s="586"/>
      <c r="F4" s="586"/>
      <c r="G4" s="586"/>
      <c r="H4" s="586"/>
      <c r="I4" s="586"/>
      <c r="J4" s="586"/>
      <c r="K4" s="586"/>
      <c r="L4" s="586"/>
      <c r="M4" s="586"/>
      <c r="N4" s="586"/>
      <c r="O4" s="586"/>
      <c r="P4" s="586"/>
      <c r="Q4" s="586"/>
      <c r="R4" s="586"/>
      <c r="S4" s="586"/>
      <c r="T4" s="586"/>
      <c r="U4" s="186"/>
      <c r="V4" s="187"/>
      <c r="W4" s="188"/>
      <c r="X4" s="189"/>
      <c r="Y4" s="189"/>
      <c r="Z4" s="189"/>
      <c r="AA4" s="189"/>
      <c r="AB4" s="189"/>
      <c r="AC4" s="189"/>
      <c r="AD4" s="190"/>
      <c r="AE4" s="143"/>
      <c r="AF4" s="143"/>
      <c r="AG4" s="143"/>
      <c r="AH4" s="179"/>
      <c r="AI4" s="179"/>
      <c r="AJ4" s="179"/>
      <c r="AK4" s="179"/>
      <c r="AL4" s="179"/>
      <c r="AM4" s="179"/>
    </row>
    <row r="5" spans="1:39" s="121" customFormat="1" ht="20.25" x14ac:dyDescent="0.3">
      <c r="A5" s="588" t="s">
        <v>1433</v>
      </c>
      <c r="B5" s="589"/>
      <c r="C5" s="589"/>
      <c r="D5" s="589"/>
      <c r="E5" s="589"/>
      <c r="F5" s="589"/>
      <c r="G5" s="589"/>
      <c r="H5" s="589"/>
      <c r="I5" s="589"/>
      <c r="J5" s="589"/>
      <c r="K5" s="589"/>
      <c r="L5" s="589"/>
      <c r="M5" s="589"/>
      <c r="N5" s="589"/>
      <c r="O5" s="589"/>
      <c r="P5" s="589"/>
      <c r="Q5" s="589"/>
      <c r="R5" s="589"/>
      <c r="S5" s="589"/>
      <c r="T5" s="589"/>
      <c r="U5" s="144"/>
      <c r="V5" s="191"/>
      <c r="W5" s="191"/>
      <c r="X5" s="191"/>
      <c r="Y5" s="191"/>
      <c r="Z5" s="191"/>
      <c r="AA5" s="191"/>
      <c r="AB5" s="191"/>
      <c r="AC5" s="191"/>
      <c r="AD5" s="191"/>
      <c r="AE5" s="143"/>
      <c r="AF5" s="143"/>
      <c r="AG5" s="143"/>
      <c r="AH5" s="179"/>
      <c r="AI5" s="179"/>
      <c r="AJ5" s="179"/>
      <c r="AK5" s="179"/>
      <c r="AL5" s="179"/>
      <c r="AM5" s="179"/>
    </row>
    <row r="6" spans="1:39" s="121" customFormat="1" ht="7.5" customHeight="1" x14ac:dyDescent="0.25">
      <c r="A6" s="590"/>
      <c r="B6" s="591"/>
      <c r="C6" s="591"/>
      <c r="D6" s="591"/>
      <c r="E6" s="591"/>
      <c r="F6" s="591"/>
      <c r="G6" s="591"/>
      <c r="H6" s="591"/>
      <c r="I6" s="591"/>
      <c r="J6" s="591"/>
      <c r="K6" s="591"/>
      <c r="L6" s="591"/>
      <c r="M6" s="591"/>
      <c r="N6" s="591"/>
      <c r="O6" s="591"/>
      <c r="P6" s="591"/>
      <c r="Q6" s="591"/>
      <c r="R6" s="591"/>
      <c r="S6" s="591"/>
      <c r="T6" s="591"/>
      <c r="U6" s="143"/>
      <c r="V6" s="191"/>
      <c r="W6" s="191"/>
      <c r="X6" s="191"/>
      <c r="Y6" s="191"/>
      <c r="Z6" s="191"/>
      <c r="AA6" s="191"/>
      <c r="AB6" s="191"/>
      <c r="AC6" s="191"/>
      <c r="AD6" s="191"/>
      <c r="AE6" s="143"/>
      <c r="AF6" s="143"/>
      <c r="AG6" s="143"/>
      <c r="AH6" s="179"/>
      <c r="AI6" s="179"/>
      <c r="AJ6" s="179"/>
      <c r="AK6" s="179"/>
      <c r="AL6" s="179"/>
      <c r="AM6" s="179"/>
    </row>
    <row r="7" spans="1:39" s="121" customFormat="1" ht="24.75" customHeight="1" x14ac:dyDescent="0.35">
      <c r="A7" s="415" t="s">
        <v>2016</v>
      </c>
      <c r="B7" s="343"/>
      <c r="C7" s="343"/>
      <c r="D7" s="343"/>
      <c r="E7" s="343"/>
      <c r="F7" s="343"/>
      <c r="G7" s="343"/>
      <c r="H7" s="343"/>
      <c r="I7" s="343"/>
      <c r="J7" s="343"/>
      <c r="K7" s="343"/>
      <c r="L7" s="343"/>
      <c r="M7" s="343"/>
      <c r="N7" s="343"/>
      <c r="O7" s="343"/>
      <c r="P7" s="343"/>
      <c r="Q7" s="343"/>
      <c r="R7" s="343"/>
      <c r="S7" s="343"/>
      <c r="T7" s="343"/>
      <c r="U7" s="142"/>
      <c r="V7" s="191"/>
      <c r="W7" s="191"/>
      <c r="X7" s="191"/>
      <c r="Y7" s="192"/>
      <c r="Z7" s="184"/>
      <c r="AA7" s="184"/>
      <c r="AB7" s="191"/>
      <c r="AC7" s="191"/>
      <c r="AD7" s="191"/>
      <c r="AE7" s="143"/>
      <c r="AF7" s="143"/>
      <c r="AG7" s="143"/>
      <c r="AH7" s="179"/>
      <c r="AI7" s="179"/>
      <c r="AJ7" s="179"/>
      <c r="AK7" s="179"/>
      <c r="AL7" s="179"/>
      <c r="AM7" s="179"/>
    </row>
    <row r="8" spans="1:39" s="121" customFormat="1" ht="21.75" customHeight="1" x14ac:dyDescent="0.2">
      <c r="A8" s="560" t="s">
        <v>1901</v>
      </c>
      <c r="B8" s="568"/>
      <c r="C8" s="568"/>
      <c r="D8" s="568"/>
      <c r="E8" s="560" t="s">
        <v>1914</v>
      </c>
      <c r="F8" s="568"/>
      <c r="G8" s="568"/>
      <c r="H8" s="568"/>
      <c r="I8" s="568"/>
      <c r="J8" s="568" t="s">
        <v>1915</v>
      </c>
      <c r="K8" s="568"/>
      <c r="L8" s="568"/>
      <c r="M8" s="568"/>
      <c r="N8" s="568"/>
      <c r="O8" s="568"/>
      <c r="P8" s="560" t="s">
        <v>1916</v>
      </c>
      <c r="Q8" s="560"/>
      <c r="R8" s="560"/>
      <c r="S8" s="560"/>
      <c r="T8" s="216"/>
      <c r="U8" s="143"/>
      <c r="V8" s="143"/>
      <c r="W8" s="143"/>
      <c r="X8" s="143"/>
      <c r="Y8" s="543"/>
      <c r="Z8" s="544"/>
      <c r="AA8" s="544"/>
      <c r="AB8" s="143"/>
      <c r="AC8" s="143"/>
      <c r="AD8" s="143"/>
      <c r="AE8" s="143"/>
      <c r="AF8" s="143"/>
      <c r="AG8" s="143"/>
      <c r="AH8" s="179"/>
      <c r="AI8" s="179"/>
      <c r="AJ8" s="179"/>
      <c r="AK8" s="179"/>
      <c r="AL8" s="179"/>
      <c r="AM8" s="179"/>
    </row>
    <row r="9" spans="1:39" s="121" customFormat="1" ht="24.75" customHeight="1" x14ac:dyDescent="0.2">
      <c r="A9" s="579"/>
      <c r="B9" s="579"/>
      <c r="C9" s="579"/>
      <c r="D9" s="579"/>
      <c r="E9" s="579"/>
      <c r="F9" s="579"/>
      <c r="G9" s="579"/>
      <c r="H9" s="579"/>
      <c r="I9" s="579"/>
      <c r="J9" s="579"/>
      <c r="K9" s="579"/>
      <c r="L9" s="579"/>
      <c r="M9" s="579"/>
      <c r="N9" s="579"/>
      <c r="O9" s="579"/>
      <c r="P9" s="579"/>
      <c r="Q9" s="579"/>
      <c r="R9" s="579"/>
      <c r="S9" s="579"/>
      <c r="T9" s="580"/>
      <c r="U9" s="143"/>
      <c r="V9" s="143"/>
      <c r="W9" s="143"/>
      <c r="X9" s="143"/>
      <c r="Y9" s="143"/>
      <c r="Z9" s="143"/>
      <c r="AA9" s="143"/>
      <c r="AB9" s="143"/>
      <c r="AC9" s="143"/>
      <c r="AD9" s="143"/>
      <c r="AE9" s="143"/>
      <c r="AF9" s="143"/>
      <c r="AG9" s="143"/>
      <c r="AH9" s="179"/>
      <c r="AI9" s="179"/>
      <c r="AJ9" s="179"/>
      <c r="AK9" s="179"/>
      <c r="AL9" s="179"/>
      <c r="AM9" s="179"/>
    </row>
    <row r="10" spans="1:39" s="121" customFormat="1" ht="21.75" customHeight="1" x14ac:dyDescent="0.2">
      <c r="A10" s="560" t="s">
        <v>150</v>
      </c>
      <c r="B10" s="560"/>
      <c r="C10" s="562"/>
      <c r="D10" s="122" t="s">
        <v>0</v>
      </c>
      <c r="E10" s="560" t="s">
        <v>1917</v>
      </c>
      <c r="F10" s="568"/>
      <c r="G10" s="568"/>
      <c r="H10" s="568"/>
      <c r="I10" s="568"/>
      <c r="J10" s="561"/>
      <c r="K10" s="157" t="s">
        <v>1524</v>
      </c>
      <c r="L10" s="216" t="s">
        <v>1924</v>
      </c>
      <c r="M10" s="592"/>
      <c r="N10" s="592"/>
      <c r="O10" s="216" t="s">
        <v>1902</v>
      </c>
      <c r="P10" s="592"/>
      <c r="Q10" s="592"/>
      <c r="R10" s="592"/>
      <c r="S10" s="592"/>
      <c r="T10" s="592"/>
      <c r="U10" s="143"/>
      <c r="V10" s="143"/>
      <c r="W10" s="143"/>
      <c r="X10" s="143"/>
      <c r="Y10" s="143"/>
      <c r="Z10" s="143"/>
      <c r="AA10" s="143"/>
      <c r="AB10" s="143"/>
      <c r="AC10" s="143"/>
      <c r="AD10" s="143"/>
      <c r="AE10" s="143"/>
      <c r="AF10" s="143"/>
      <c r="AG10" s="143"/>
      <c r="AH10" s="179"/>
      <c r="AI10" s="179"/>
      <c r="AJ10" s="179"/>
      <c r="AK10" s="179"/>
      <c r="AL10" s="179"/>
      <c r="AM10" s="179"/>
    </row>
    <row r="11" spans="1:39" s="121" customFormat="1" ht="24.75" customHeight="1" x14ac:dyDescent="0.2">
      <c r="A11" s="581"/>
      <c r="B11" s="582"/>
      <c r="C11" s="582"/>
      <c r="D11" s="583"/>
      <c r="E11" s="123"/>
      <c r="F11" s="124"/>
      <c r="G11" s="584"/>
      <c r="H11" s="582"/>
      <c r="I11" s="582"/>
      <c r="J11" s="583"/>
      <c r="K11" s="160"/>
      <c r="L11" s="593"/>
      <c r="M11" s="593"/>
      <c r="N11" s="593"/>
      <c r="O11" s="594"/>
      <c r="P11" s="593"/>
      <c r="Q11" s="593"/>
      <c r="R11" s="593"/>
      <c r="S11" s="593"/>
      <c r="T11" s="595"/>
      <c r="U11" s="143"/>
      <c r="V11" s="143"/>
      <c r="W11" s="143"/>
      <c r="X11" s="193" t="str">
        <f>+_xlfn.IFS(A11="Cedula", "pan", OR(A11="Pasaporte", A11=ISBLANK(" ")), "nopan")</f>
        <v>nopan</v>
      </c>
      <c r="Y11" s="143"/>
      <c r="Z11" s="143"/>
      <c r="AA11" s="143"/>
      <c r="AB11" s="143"/>
      <c r="AC11" s="143"/>
      <c r="AD11" s="143"/>
      <c r="AE11" s="143"/>
      <c r="AF11" s="143"/>
      <c r="AG11" s="143"/>
      <c r="AH11" s="179"/>
      <c r="AI11" s="179"/>
      <c r="AJ11" s="179"/>
      <c r="AK11" s="179"/>
      <c r="AL11" s="179"/>
      <c r="AM11" s="179"/>
    </row>
    <row r="12" spans="1:39" s="121" customFormat="1" ht="21.75" customHeight="1" x14ac:dyDescent="0.2">
      <c r="A12" s="567" t="s">
        <v>1918</v>
      </c>
      <c r="B12" s="567"/>
      <c r="C12" s="567"/>
      <c r="D12" s="567"/>
      <c r="E12" s="568"/>
      <c r="F12" s="216" t="s">
        <v>1903</v>
      </c>
      <c r="G12" s="217"/>
      <c r="H12" s="217"/>
      <c r="I12" s="217"/>
      <c r="J12" s="217"/>
      <c r="K12" s="217"/>
      <c r="L12" s="239"/>
      <c r="M12" s="560" t="s">
        <v>1904</v>
      </c>
      <c r="N12" s="561"/>
      <c r="O12" s="561"/>
      <c r="P12" s="561"/>
      <c r="Q12" s="561"/>
      <c r="R12" s="561"/>
      <c r="S12" s="561"/>
      <c r="T12" s="562"/>
      <c r="U12" s="143"/>
      <c r="V12" s="143"/>
      <c r="W12" s="143"/>
      <c r="X12" s="143"/>
      <c r="Y12" s="143"/>
      <c r="Z12" s="143"/>
      <c r="AA12" s="143"/>
      <c r="AB12" s="143"/>
      <c r="AC12" s="143"/>
      <c r="AD12" s="143"/>
      <c r="AE12" s="143"/>
      <c r="AF12" s="143"/>
      <c r="AG12" s="143"/>
      <c r="AH12" s="179"/>
      <c r="AI12" s="179"/>
      <c r="AJ12" s="179"/>
      <c r="AK12" s="179"/>
      <c r="AL12" s="179"/>
      <c r="AM12" s="179"/>
    </row>
    <row r="13" spans="1:39" s="121" customFormat="1" ht="24.75" customHeight="1" x14ac:dyDescent="0.2">
      <c r="A13" s="155"/>
      <c r="B13" s="297"/>
      <c r="C13" s="563"/>
      <c r="D13" s="297"/>
      <c r="E13" s="297"/>
      <c r="F13" s="564"/>
      <c r="G13" s="565"/>
      <c r="H13" s="565"/>
      <c r="I13" s="565"/>
      <c r="J13" s="565"/>
      <c r="K13" s="565"/>
      <c r="L13" s="551"/>
      <c r="M13" s="564"/>
      <c r="N13" s="565"/>
      <c r="O13" s="565"/>
      <c r="P13" s="565"/>
      <c r="Q13" s="565"/>
      <c r="R13" s="565"/>
      <c r="S13" s="565"/>
      <c r="T13" s="565"/>
      <c r="U13" s="143"/>
      <c r="V13" s="143"/>
      <c r="W13" s="143"/>
      <c r="X13" s="143"/>
      <c r="Y13" s="143"/>
      <c r="Z13" s="143"/>
      <c r="AA13" s="143"/>
      <c r="AB13" s="143"/>
      <c r="AC13" s="143"/>
      <c r="AD13" s="143"/>
      <c r="AE13" s="143"/>
      <c r="AF13" s="143"/>
      <c r="AG13" s="143"/>
      <c r="AH13" s="179"/>
      <c r="AI13" s="179"/>
      <c r="AJ13" s="179"/>
      <c r="AK13" s="179"/>
      <c r="AL13" s="179"/>
      <c r="AM13" s="179"/>
    </row>
    <row r="14" spans="1:39" s="121" customFormat="1" ht="21.75" customHeight="1" x14ac:dyDescent="0.3">
      <c r="A14" s="569" t="s">
        <v>1930</v>
      </c>
      <c r="B14" s="228"/>
      <c r="C14" s="228"/>
      <c r="D14" s="228"/>
      <c r="E14" s="228"/>
      <c r="F14" s="570"/>
      <c r="G14" s="548" t="s">
        <v>1906</v>
      </c>
      <c r="H14" s="549"/>
      <c r="I14" s="571" t="s">
        <v>1905</v>
      </c>
      <c r="J14" s="572"/>
      <c r="K14" s="572"/>
      <c r="L14" s="575" t="s">
        <v>1928</v>
      </c>
      <c r="M14" s="576"/>
      <c r="N14" s="552" t="s">
        <v>1929</v>
      </c>
      <c r="O14" s="228"/>
      <c r="P14" s="228"/>
      <c r="Q14" s="228"/>
      <c r="R14" s="228"/>
      <c r="S14" s="228"/>
      <c r="T14" s="228"/>
      <c r="U14" s="194"/>
      <c r="V14" s="185"/>
      <c r="W14" s="185"/>
      <c r="X14" s="185"/>
      <c r="Y14" s="185"/>
      <c r="Z14" s="185"/>
      <c r="AA14" s="143"/>
      <c r="AB14" s="143"/>
      <c r="AC14" s="143"/>
      <c r="AD14" s="143"/>
      <c r="AE14" s="143"/>
      <c r="AF14" s="143"/>
      <c r="AG14" s="143"/>
      <c r="AH14" s="179"/>
      <c r="AI14" s="179"/>
      <c r="AJ14" s="179"/>
      <c r="AK14" s="179"/>
      <c r="AL14" s="179"/>
      <c r="AM14" s="179"/>
    </row>
    <row r="15" spans="1:39" s="121" customFormat="1" ht="24.75" customHeight="1" x14ac:dyDescent="0.2">
      <c r="A15" s="402"/>
      <c r="B15" s="318"/>
      <c r="C15" s="318"/>
      <c r="D15" s="318"/>
      <c r="E15" s="318"/>
      <c r="F15" s="318"/>
      <c r="G15" s="550"/>
      <c r="H15" s="551"/>
      <c r="I15" s="545"/>
      <c r="J15" s="546"/>
      <c r="K15" s="547"/>
      <c r="L15" s="532"/>
      <c r="M15" s="534"/>
      <c r="N15" s="553"/>
      <c r="O15" s="554"/>
      <c r="P15" s="554"/>
      <c r="Q15" s="554"/>
      <c r="R15" s="554"/>
      <c r="S15" s="554"/>
      <c r="T15" s="555"/>
      <c r="U15" s="195"/>
      <c r="V15" s="196"/>
      <c r="W15" s="196"/>
      <c r="X15" s="197">
        <f>+N15</f>
        <v>0</v>
      </c>
      <c r="Y15" s="196"/>
      <c r="Z15" s="196"/>
      <c r="AA15" s="143"/>
      <c r="AB15" s="143"/>
      <c r="AC15" s="143"/>
      <c r="AD15" s="143"/>
      <c r="AE15" s="143"/>
      <c r="AF15" s="143"/>
      <c r="AG15" s="143"/>
      <c r="AH15" s="179"/>
      <c r="AI15" s="179"/>
      <c r="AJ15" s="179"/>
      <c r="AK15" s="179"/>
      <c r="AL15" s="179"/>
      <c r="AM15" s="179"/>
    </row>
    <row r="16" spans="1:39" s="156" customFormat="1" ht="24.75" customHeight="1" x14ac:dyDescent="0.25">
      <c r="A16" s="577" t="str">
        <f>IF(A11="pasaporte", "Nota: El asegurado en este caso debe llenar el cuestionario de extranjero", " ")</f>
        <v xml:space="preserve"> </v>
      </c>
      <c r="B16" s="578"/>
      <c r="C16" s="578"/>
      <c r="D16" s="578"/>
      <c r="E16" s="578"/>
      <c r="F16" s="578"/>
      <c r="G16" s="578"/>
      <c r="H16" s="578"/>
      <c r="I16" s="578"/>
      <c r="J16" s="578"/>
      <c r="K16" s="578"/>
      <c r="L16" s="578"/>
      <c r="M16" s="578"/>
      <c r="N16" s="578"/>
      <c r="O16" s="578"/>
      <c r="P16" s="578"/>
      <c r="Q16" s="578"/>
      <c r="R16" s="578"/>
      <c r="S16" s="578"/>
      <c r="T16" s="578"/>
      <c r="U16" s="195"/>
      <c r="V16" s="196"/>
      <c r="W16" s="196"/>
      <c r="X16" s="196"/>
      <c r="Y16" s="196"/>
      <c r="Z16" s="196"/>
      <c r="AA16" s="143"/>
      <c r="AB16" s="143"/>
      <c r="AC16" s="143"/>
      <c r="AD16" s="143"/>
      <c r="AE16" s="143"/>
      <c r="AF16" s="143"/>
      <c r="AG16" s="143"/>
      <c r="AH16" s="179"/>
      <c r="AI16" s="179"/>
      <c r="AJ16" s="179"/>
      <c r="AK16" s="179"/>
      <c r="AL16" s="179"/>
      <c r="AM16" s="179"/>
    </row>
    <row r="17" spans="1:39" s="121" customFormat="1" ht="24.75" customHeight="1" x14ac:dyDescent="0.35">
      <c r="A17" s="227" t="s">
        <v>1875</v>
      </c>
      <c r="B17" s="228"/>
      <c r="C17" s="228"/>
      <c r="D17" s="228"/>
      <c r="E17" s="228"/>
      <c r="F17" s="228"/>
      <c r="G17" s="228"/>
      <c r="H17" s="228"/>
      <c r="I17" s="228"/>
      <c r="J17" s="228"/>
      <c r="K17" s="228"/>
      <c r="L17" s="228"/>
      <c r="M17" s="228"/>
      <c r="N17" s="228"/>
      <c r="O17" s="228"/>
      <c r="P17" s="228"/>
      <c r="Q17" s="228"/>
      <c r="R17" s="228"/>
      <c r="S17" s="228"/>
      <c r="T17" s="228"/>
      <c r="U17" s="142"/>
      <c r="V17" s="143"/>
      <c r="W17" s="143"/>
      <c r="X17" s="143"/>
      <c r="Y17" s="143"/>
      <c r="Z17" s="143"/>
      <c r="AA17" s="143"/>
      <c r="AB17" s="143"/>
      <c r="AC17" s="143"/>
      <c r="AD17" s="143"/>
      <c r="AE17" s="143"/>
      <c r="AF17" s="143"/>
      <c r="AG17" s="143"/>
      <c r="AH17" s="179"/>
      <c r="AI17" s="179"/>
      <c r="AJ17" s="179"/>
      <c r="AK17" s="179"/>
      <c r="AL17" s="179"/>
      <c r="AM17" s="179"/>
    </row>
    <row r="18" spans="1:39" s="121" customFormat="1" ht="21.75" customHeight="1" x14ac:dyDescent="0.2">
      <c r="A18" s="238" t="s">
        <v>1920</v>
      </c>
      <c r="B18" s="217"/>
      <c r="C18" s="217"/>
      <c r="D18" s="239"/>
      <c r="E18" s="216" t="str">
        <f>+IF(OR(A19="Panamá", A19=ISBLANK(" ")), "Provincia", " ")</f>
        <v>Provincia</v>
      </c>
      <c r="F18" s="427"/>
      <c r="G18" s="427"/>
      <c r="H18" s="427"/>
      <c r="I18" s="136" t="str">
        <f>+IF(OR(A19="Panamá", A19=ISBLANK(" ")),"*", " ")</f>
        <v>*</v>
      </c>
      <c r="J18" s="216" t="str">
        <f>+IF(OR(A19="Panamá", A19=ISBLANK(" ")), "Distrito", " ")</f>
        <v>Distrito</v>
      </c>
      <c r="K18" s="427"/>
      <c r="L18" s="427"/>
      <c r="M18" s="217"/>
      <c r="N18" s="136" t="s">
        <v>0</v>
      </c>
      <c r="O18" s="216" t="str">
        <f>+IF(OR(A19="Panamá", A19=ISBLANK(" ")),"Corregimiento", " ")</f>
        <v>Corregimiento</v>
      </c>
      <c r="P18" s="427"/>
      <c r="Q18" s="427"/>
      <c r="R18" s="427"/>
      <c r="S18" s="427"/>
      <c r="T18" s="141" t="str">
        <f>+IF(OR(A19="Panamá",A19=ISBLANK(" ")), "*", " ")</f>
        <v>*</v>
      </c>
      <c r="U18" s="143"/>
      <c r="V18" s="143"/>
      <c r="W18" s="143"/>
      <c r="X18" s="143"/>
      <c r="Y18" s="143"/>
      <c r="Z18" s="143"/>
      <c r="AA18" s="143"/>
      <c r="AB18" s="143"/>
      <c r="AC18" s="143"/>
      <c r="AD18" s="143"/>
      <c r="AE18" s="143"/>
      <c r="AF18" s="143"/>
      <c r="AG18" s="143"/>
      <c r="AH18" s="179"/>
      <c r="AI18" s="179"/>
      <c r="AJ18" s="179"/>
      <c r="AK18" s="179"/>
      <c r="AL18" s="179"/>
      <c r="AM18" s="179"/>
    </row>
    <row r="19" spans="1:39" s="121" customFormat="1" ht="24.75" customHeight="1" x14ac:dyDescent="0.2">
      <c r="A19" s="558"/>
      <c r="B19" s="534"/>
      <c r="C19" s="534"/>
      <c r="D19" s="534"/>
      <c r="E19" s="558"/>
      <c r="F19" s="558"/>
      <c r="G19" s="558"/>
      <c r="H19" s="558"/>
      <c r="I19" s="558"/>
      <c r="J19" s="558"/>
      <c r="K19" s="558"/>
      <c r="L19" s="558"/>
      <c r="M19" s="558"/>
      <c r="N19" s="534"/>
      <c r="O19" s="532"/>
      <c r="P19" s="558"/>
      <c r="Q19" s="558"/>
      <c r="R19" s="558"/>
      <c r="S19" s="558"/>
      <c r="T19" s="218"/>
      <c r="U19" s="143"/>
      <c r="V19" s="143"/>
      <c r="W19" s="143"/>
      <c r="X19" s="143"/>
      <c r="Y19" s="143"/>
      <c r="Z19" s="143"/>
      <c r="AA19" s="143"/>
      <c r="AB19" s="143"/>
      <c r="AC19" s="143"/>
      <c r="AD19" s="143"/>
      <c r="AE19" s="143"/>
      <c r="AF19" s="143"/>
      <c r="AG19" s="143"/>
      <c r="AH19" s="179"/>
      <c r="AI19" s="179"/>
      <c r="AJ19" s="179"/>
      <c r="AK19" s="179"/>
      <c r="AL19" s="179"/>
      <c r="AM19" s="179"/>
    </row>
    <row r="20" spans="1:39" s="121" customFormat="1" ht="21.75" customHeight="1" x14ac:dyDescent="0.3">
      <c r="A20" s="216" t="str">
        <f>+IF(OR(A19="Panamá", A19=ISBLANK(" ")), "Barrio", "Ciudad")</f>
        <v>Barrio</v>
      </c>
      <c r="B20" s="217"/>
      <c r="C20" s="217"/>
      <c r="D20" s="217"/>
      <c r="E20" s="217"/>
      <c r="F20" s="217"/>
      <c r="G20" s="217"/>
      <c r="H20" s="217"/>
      <c r="I20" s="136" t="s">
        <v>0</v>
      </c>
      <c r="J20" s="238" t="s">
        <v>1921</v>
      </c>
      <c r="K20" s="217"/>
      <c r="L20" s="217"/>
      <c r="M20" s="217"/>
      <c r="N20" s="217"/>
      <c r="O20" s="217"/>
      <c r="P20" s="217"/>
      <c r="Q20" s="217"/>
      <c r="R20" s="217"/>
      <c r="S20" s="217"/>
      <c r="T20" s="141" t="s">
        <v>0</v>
      </c>
      <c r="U20" s="144"/>
      <c r="V20" s="143"/>
      <c r="W20" s="143"/>
      <c r="X20" s="143"/>
      <c r="Y20" s="143"/>
      <c r="Z20" s="143"/>
      <c r="AA20" s="143"/>
      <c r="AB20" s="143"/>
      <c r="AC20" s="143"/>
      <c r="AD20" s="143"/>
      <c r="AE20" s="143"/>
      <c r="AF20" s="143"/>
      <c r="AG20" s="143"/>
      <c r="AH20" s="179"/>
      <c r="AI20" s="179"/>
      <c r="AJ20" s="179"/>
      <c r="AK20" s="179"/>
      <c r="AL20" s="179"/>
      <c r="AM20" s="179"/>
    </row>
    <row r="21" spans="1:39" s="121" customFormat="1" ht="24.75" customHeight="1" x14ac:dyDescent="0.3">
      <c r="A21" s="532"/>
      <c r="B21" s="566"/>
      <c r="C21" s="566"/>
      <c r="D21" s="566"/>
      <c r="E21" s="566"/>
      <c r="F21" s="566"/>
      <c r="G21" s="566"/>
      <c r="H21" s="566"/>
      <c r="I21" s="566"/>
      <c r="J21" s="532"/>
      <c r="K21" s="566"/>
      <c r="L21" s="566"/>
      <c r="M21" s="566"/>
      <c r="N21" s="566"/>
      <c r="O21" s="566"/>
      <c r="P21" s="566"/>
      <c r="Q21" s="566"/>
      <c r="R21" s="566"/>
      <c r="S21" s="566"/>
      <c r="T21" s="566"/>
      <c r="U21" s="144"/>
      <c r="V21" s="143"/>
      <c r="W21" s="143"/>
      <c r="X21" s="143"/>
      <c r="Y21" s="143"/>
      <c r="Z21" s="143"/>
      <c r="AA21" s="143"/>
      <c r="AB21" s="143"/>
      <c r="AC21" s="143"/>
      <c r="AD21" s="143"/>
      <c r="AE21" s="143"/>
      <c r="AF21" s="143"/>
      <c r="AG21" s="143"/>
      <c r="AH21" s="179"/>
      <c r="AI21" s="179"/>
      <c r="AJ21" s="179"/>
      <c r="AK21" s="179"/>
      <c r="AL21" s="179"/>
      <c r="AM21" s="179"/>
    </row>
    <row r="22" spans="1:39" s="121" customFormat="1" ht="21.75" customHeight="1" x14ac:dyDescent="0.2">
      <c r="A22" s="216" t="s">
        <v>1922</v>
      </c>
      <c r="B22" s="343"/>
      <c r="C22" s="343"/>
      <c r="D22" s="343"/>
      <c r="E22" s="343"/>
      <c r="F22" s="343"/>
      <c r="G22" s="343"/>
      <c r="H22" s="343"/>
      <c r="I22" s="343"/>
      <c r="J22" s="343"/>
      <c r="K22" s="343"/>
      <c r="L22" s="136" t="s">
        <v>0</v>
      </c>
      <c r="M22" s="216" t="s">
        <v>1923</v>
      </c>
      <c r="N22" s="343"/>
      <c r="O22" s="343"/>
      <c r="P22" s="343"/>
      <c r="Q22" s="343"/>
      <c r="R22" s="343"/>
      <c r="S22" s="343"/>
      <c r="T22" s="163" t="s">
        <v>0</v>
      </c>
      <c r="U22" s="143"/>
      <c r="V22" s="143"/>
      <c r="W22" s="143"/>
      <c r="X22" s="143"/>
      <c r="Y22" s="143"/>
      <c r="Z22" s="143"/>
      <c r="AA22" s="143"/>
      <c r="AB22" s="143"/>
      <c r="AC22" s="143"/>
      <c r="AD22" s="143"/>
      <c r="AE22" s="143"/>
      <c r="AF22" s="143"/>
      <c r="AG22" s="143"/>
      <c r="AH22" s="179"/>
      <c r="AI22" s="179"/>
      <c r="AJ22" s="179"/>
      <c r="AK22" s="179"/>
      <c r="AL22" s="179"/>
      <c r="AM22" s="179"/>
    </row>
    <row r="23" spans="1:39" s="121" customFormat="1" ht="24.75" customHeight="1" x14ac:dyDescent="0.2">
      <c r="A23" s="573"/>
      <c r="B23" s="573"/>
      <c r="C23" s="573"/>
      <c r="D23" s="573"/>
      <c r="E23" s="573"/>
      <c r="F23" s="573"/>
      <c r="G23" s="573"/>
      <c r="H23" s="573"/>
      <c r="I23" s="573"/>
      <c r="J23" s="573"/>
      <c r="K23" s="573"/>
      <c r="L23" s="573"/>
      <c r="M23" s="573"/>
      <c r="N23" s="573"/>
      <c r="O23" s="573"/>
      <c r="P23" s="573"/>
      <c r="Q23" s="573"/>
      <c r="R23" s="573"/>
      <c r="S23" s="573"/>
      <c r="T23" s="574"/>
      <c r="U23" s="143"/>
      <c r="V23" s="143"/>
      <c r="W23" s="143"/>
      <c r="X23" s="143"/>
      <c r="Y23" s="143"/>
      <c r="Z23" s="143"/>
      <c r="AA23" s="143"/>
      <c r="AB23" s="143"/>
      <c r="AC23" s="143"/>
      <c r="AD23" s="143"/>
      <c r="AE23" s="143"/>
      <c r="AF23" s="143"/>
      <c r="AG23" s="143"/>
      <c r="AH23" s="179"/>
      <c r="AI23" s="179"/>
      <c r="AJ23" s="179"/>
      <c r="AK23" s="179"/>
      <c r="AL23" s="179"/>
      <c r="AM23" s="179"/>
    </row>
    <row r="24" spans="1:39" s="121" customFormat="1" ht="23.25" x14ac:dyDescent="0.35">
      <c r="A24" s="227" t="s">
        <v>1876</v>
      </c>
      <c r="B24" s="228"/>
      <c r="C24" s="228"/>
      <c r="D24" s="228"/>
      <c r="E24" s="228"/>
      <c r="F24" s="228"/>
      <c r="G24" s="228"/>
      <c r="H24" s="228"/>
      <c r="I24" s="228"/>
      <c r="J24" s="228"/>
      <c r="K24" s="228"/>
      <c r="L24" s="228"/>
      <c r="M24" s="228"/>
      <c r="N24" s="228"/>
      <c r="O24" s="228"/>
      <c r="P24" s="228"/>
      <c r="Q24" s="228"/>
      <c r="R24" s="228"/>
      <c r="S24" s="228"/>
      <c r="T24" s="228"/>
      <c r="U24" s="142"/>
      <c r="V24" s="143"/>
      <c r="W24" s="143"/>
      <c r="X24" s="143"/>
      <c r="Y24" s="143"/>
      <c r="Z24" s="143"/>
      <c r="AA24" s="143"/>
      <c r="AB24" s="143"/>
      <c r="AC24" s="143"/>
      <c r="AD24" s="143"/>
      <c r="AE24" s="143"/>
      <c r="AF24" s="143"/>
      <c r="AG24" s="143"/>
      <c r="AH24" s="179"/>
      <c r="AI24" s="179"/>
      <c r="AJ24" s="179"/>
      <c r="AK24" s="179"/>
      <c r="AL24" s="179"/>
      <c r="AM24" s="179"/>
    </row>
    <row r="25" spans="1:39" s="121" customFormat="1" ht="21.75" customHeight="1" x14ac:dyDescent="0.2">
      <c r="A25" s="557" t="s">
        <v>1907</v>
      </c>
      <c r="B25" s="217"/>
      <c r="C25" s="217"/>
      <c r="D25" s="239"/>
      <c r="E25" s="216" t="str">
        <f>+IF(OR(A26="Panamá", A26=ISBLANK(" ")), "Provincia", " ")</f>
        <v>Provincia</v>
      </c>
      <c r="F25" s="427"/>
      <c r="G25" s="427"/>
      <c r="H25" s="427"/>
      <c r="I25" s="136" t="str">
        <f>+IF(OR(A26="Panamá", A26=ISBLANK(" ")),"*", " ")</f>
        <v>*</v>
      </c>
      <c r="J25" s="216" t="str">
        <f>+IF(OR(A26="Panamá", A26=ISBLANK(" ")), "Distrito", " ")</f>
        <v>Distrito</v>
      </c>
      <c r="K25" s="427"/>
      <c r="L25" s="427"/>
      <c r="M25" s="217"/>
      <c r="N25" s="136" t="str">
        <f>+IF(OR(A26="Panamá",A26=ISBLANK(" ")), "*", " ")</f>
        <v>*</v>
      </c>
      <c r="O25" s="216" t="str">
        <f>+IF(OR(A26="Panamá", A26=ISBLANK(" ")),"Corregimiento", " ")</f>
        <v>Corregimiento</v>
      </c>
      <c r="P25" s="427"/>
      <c r="Q25" s="427"/>
      <c r="R25" s="427"/>
      <c r="S25" s="427"/>
      <c r="T25" s="136" t="str">
        <f>+IF(OR(A26="Panamá",A26=ISBLANK(" ")), "*", " ")</f>
        <v>*</v>
      </c>
      <c r="U25" s="143"/>
      <c r="V25" s="143"/>
      <c r="W25" s="143"/>
      <c r="X25" s="143"/>
      <c r="Y25" s="143"/>
      <c r="Z25" s="143"/>
      <c r="AA25" s="143"/>
      <c r="AB25" s="143"/>
      <c r="AC25" s="143"/>
      <c r="AD25" s="143"/>
      <c r="AE25" s="143"/>
      <c r="AF25" s="143"/>
      <c r="AG25" s="143"/>
      <c r="AH25" s="179"/>
      <c r="AI25" s="179"/>
      <c r="AJ25" s="179"/>
      <c r="AK25" s="179"/>
      <c r="AL25" s="179"/>
      <c r="AM25" s="179"/>
    </row>
    <row r="26" spans="1:39" s="121" customFormat="1" ht="24.75" customHeight="1" x14ac:dyDescent="0.2">
      <c r="A26" s="558"/>
      <c r="B26" s="534"/>
      <c r="C26" s="534"/>
      <c r="D26" s="534"/>
      <c r="E26" s="558"/>
      <c r="F26" s="558"/>
      <c r="G26" s="558"/>
      <c r="H26" s="558"/>
      <c r="I26" s="558"/>
      <c r="J26" s="558"/>
      <c r="K26" s="558"/>
      <c r="L26" s="558"/>
      <c r="M26" s="558"/>
      <c r="N26" s="534"/>
      <c r="O26" s="532"/>
      <c r="P26" s="558"/>
      <c r="Q26" s="558"/>
      <c r="R26" s="558"/>
      <c r="S26" s="558"/>
      <c r="T26" s="218"/>
      <c r="U26" s="143"/>
      <c r="V26" s="143"/>
      <c r="W26" s="143"/>
      <c r="X26" s="143"/>
      <c r="Y26" s="143"/>
      <c r="Z26" s="143"/>
      <c r="AA26" s="143"/>
      <c r="AB26" s="143"/>
      <c r="AC26" s="143"/>
      <c r="AD26" s="143"/>
      <c r="AE26" s="143"/>
      <c r="AF26" s="143"/>
      <c r="AG26" s="143"/>
      <c r="AH26" s="179"/>
      <c r="AI26" s="179"/>
      <c r="AJ26" s="179"/>
      <c r="AK26" s="179"/>
      <c r="AL26" s="179"/>
      <c r="AM26" s="179"/>
    </row>
    <row r="27" spans="1:39" s="121" customFormat="1" ht="20.25" x14ac:dyDescent="0.3">
      <c r="A27" s="216" t="str">
        <f>+IF(OR(A26="Panamá", A26=ISBLANK(" ")), "Barrio", "Ciudad")</f>
        <v>Barrio</v>
      </c>
      <c r="B27" s="427"/>
      <c r="C27" s="427"/>
      <c r="D27" s="427"/>
      <c r="E27" s="427"/>
      <c r="F27" s="427"/>
      <c r="G27" s="427"/>
      <c r="H27" s="427"/>
      <c r="I27" s="136" t="s">
        <v>0</v>
      </c>
      <c r="J27" s="557" t="s">
        <v>1925</v>
      </c>
      <c r="K27" s="217"/>
      <c r="L27" s="217"/>
      <c r="M27" s="217"/>
      <c r="N27" s="217"/>
      <c r="O27" s="217"/>
      <c r="P27" s="217"/>
      <c r="Q27" s="217"/>
      <c r="R27" s="217"/>
      <c r="S27" s="217"/>
      <c r="T27" s="136" t="s">
        <v>0</v>
      </c>
      <c r="U27" s="144"/>
      <c r="V27" s="143"/>
      <c r="W27" s="143"/>
      <c r="X27" s="143"/>
      <c r="Y27" s="143"/>
      <c r="Z27" s="143"/>
      <c r="AA27" s="143"/>
      <c r="AB27" s="143"/>
      <c r="AC27" s="143"/>
      <c r="AD27" s="143"/>
      <c r="AE27" s="143"/>
      <c r="AF27" s="143"/>
      <c r="AG27" s="143"/>
      <c r="AH27" s="179"/>
      <c r="AI27" s="179"/>
      <c r="AJ27" s="179"/>
      <c r="AK27" s="179"/>
      <c r="AL27" s="179"/>
      <c r="AM27" s="179"/>
    </row>
    <row r="28" spans="1:39" s="121" customFormat="1" ht="24.75" customHeight="1" x14ac:dyDescent="0.3">
      <c r="A28" s="558"/>
      <c r="B28" s="534"/>
      <c r="C28" s="534"/>
      <c r="D28" s="534"/>
      <c r="E28" s="534"/>
      <c r="F28" s="534"/>
      <c r="G28" s="534"/>
      <c r="H28" s="534"/>
      <c r="I28" s="534"/>
      <c r="J28" s="558"/>
      <c r="K28" s="534"/>
      <c r="L28" s="534"/>
      <c r="M28" s="534"/>
      <c r="N28" s="534"/>
      <c r="O28" s="534"/>
      <c r="P28" s="534"/>
      <c r="Q28" s="534"/>
      <c r="R28" s="534"/>
      <c r="S28" s="534"/>
      <c r="T28" s="559"/>
      <c r="U28" s="144"/>
      <c r="V28" s="143"/>
      <c r="W28" s="143"/>
      <c r="X28" s="143"/>
      <c r="Y28" s="143"/>
      <c r="Z28" s="143"/>
      <c r="AA28" s="143"/>
      <c r="AB28" s="143"/>
      <c r="AC28" s="143"/>
      <c r="AD28" s="143"/>
      <c r="AE28" s="143"/>
      <c r="AF28" s="143"/>
      <c r="AG28" s="143"/>
      <c r="AH28" s="179"/>
      <c r="AI28" s="179"/>
      <c r="AJ28" s="179"/>
      <c r="AK28" s="179"/>
      <c r="AL28" s="179"/>
      <c r="AM28" s="179"/>
    </row>
    <row r="29" spans="1:39" s="121" customFormat="1" ht="21.75" customHeight="1" x14ac:dyDescent="0.2">
      <c r="A29" s="342" t="s">
        <v>1926</v>
      </c>
      <c r="B29" s="343"/>
      <c r="C29" s="343"/>
      <c r="D29" s="343"/>
      <c r="E29" s="343"/>
      <c r="F29" s="343"/>
      <c r="G29" s="343"/>
      <c r="H29" s="343"/>
      <c r="I29" s="136" t="s">
        <v>0</v>
      </c>
      <c r="J29" s="557" t="s">
        <v>1927</v>
      </c>
      <c r="K29" s="425"/>
      <c r="L29" s="425"/>
      <c r="M29" s="425"/>
      <c r="N29" s="416"/>
      <c r="O29" s="216" t="s">
        <v>1994</v>
      </c>
      <c r="P29" s="217"/>
      <c r="Q29" s="416"/>
      <c r="R29" s="216" t="s">
        <v>1526</v>
      </c>
      <c r="S29" s="425"/>
      <c r="T29" s="239"/>
      <c r="U29" s="143"/>
      <c r="V29" s="143"/>
      <c r="W29" s="143"/>
      <c r="X29" s="143"/>
      <c r="Y29" s="143"/>
      <c r="Z29" s="143"/>
      <c r="AA29" s="143"/>
      <c r="AB29" s="143"/>
      <c r="AC29" s="143"/>
      <c r="AD29" s="143"/>
      <c r="AE29" s="143"/>
      <c r="AF29" s="143"/>
      <c r="AG29" s="143"/>
      <c r="AH29" s="179"/>
      <c r="AI29" s="179"/>
      <c r="AJ29" s="179"/>
      <c r="AK29" s="179"/>
      <c r="AL29" s="179"/>
      <c r="AM29" s="179"/>
    </row>
    <row r="30" spans="1:39" s="121" customFormat="1" ht="24.75" customHeight="1" x14ac:dyDescent="0.2">
      <c r="A30" s="218"/>
      <c r="B30" s="219"/>
      <c r="C30" s="219"/>
      <c r="D30" s="219"/>
      <c r="E30" s="219"/>
      <c r="F30" s="219"/>
      <c r="G30" s="219"/>
      <c r="H30" s="219"/>
      <c r="I30" s="220"/>
      <c r="J30" s="218"/>
      <c r="K30" s="380"/>
      <c r="L30" s="380"/>
      <c r="M30" s="380"/>
      <c r="N30" s="220"/>
      <c r="O30" s="370"/>
      <c r="P30" s="219"/>
      <c r="Q30" s="220"/>
      <c r="R30" s="532"/>
      <c r="S30" s="533"/>
      <c r="T30" s="534"/>
      <c r="U30" s="143"/>
      <c r="V30" s="143"/>
      <c r="W30" s="143"/>
      <c r="X30" s="143"/>
      <c r="Y30" s="143"/>
      <c r="Z30" s="143"/>
      <c r="AA30" s="143"/>
      <c r="AB30" s="143"/>
      <c r="AC30" s="143"/>
      <c r="AD30" s="143"/>
      <c r="AE30" s="143"/>
      <c r="AF30" s="143"/>
      <c r="AG30" s="143"/>
      <c r="AH30" s="179"/>
      <c r="AI30" s="179"/>
      <c r="AJ30" s="179"/>
      <c r="AK30" s="179"/>
      <c r="AL30" s="179"/>
      <c r="AM30" s="179"/>
    </row>
    <row r="31" spans="1:39" s="121" customFormat="1" ht="21.75" customHeight="1" x14ac:dyDescent="0.2">
      <c r="A31" s="216" t="s">
        <v>1582</v>
      </c>
      <c r="B31" s="229"/>
      <c r="C31" s="229"/>
      <c r="D31" s="229"/>
      <c r="E31" s="229"/>
      <c r="F31" s="229"/>
      <c r="G31" s="229"/>
      <c r="H31" s="556"/>
      <c r="I31" s="342" t="s">
        <v>1908</v>
      </c>
      <c r="J31" s="343"/>
      <c r="K31" s="343"/>
      <c r="L31" s="343"/>
      <c r="M31" s="343"/>
      <c r="N31" s="343"/>
      <c r="O31" s="343"/>
      <c r="P31" s="343"/>
      <c r="Q31" s="343"/>
      <c r="R31" s="343"/>
      <c r="S31" s="343"/>
      <c r="T31" s="416"/>
      <c r="U31" s="143"/>
      <c r="V31" s="143"/>
      <c r="W31" s="143"/>
      <c r="X31" s="143"/>
      <c r="Y31" s="143"/>
      <c r="Z31" s="143"/>
      <c r="AA31" s="143"/>
      <c r="AB31" s="143"/>
      <c r="AC31" s="143"/>
      <c r="AD31" s="143"/>
      <c r="AE31" s="143"/>
      <c r="AF31" s="143"/>
      <c r="AG31" s="143"/>
      <c r="AH31" s="179"/>
      <c r="AI31" s="179"/>
      <c r="AJ31" s="179"/>
      <c r="AK31" s="179"/>
      <c r="AL31" s="179"/>
      <c r="AM31" s="179"/>
    </row>
    <row r="32" spans="1:39" s="121" customFormat="1" ht="24.75" customHeight="1" x14ac:dyDescent="0.2">
      <c r="A32" s="496"/>
      <c r="B32" s="496"/>
      <c r="C32" s="496"/>
      <c r="D32" s="496"/>
      <c r="E32" s="496"/>
      <c r="F32" s="496"/>
      <c r="G32" s="496"/>
      <c r="H32" s="496"/>
      <c r="I32" s="524"/>
      <c r="J32" s="380"/>
      <c r="K32" s="380"/>
      <c r="L32" s="380"/>
      <c r="M32" s="380"/>
      <c r="N32" s="380"/>
      <c r="O32" s="380"/>
      <c r="P32" s="354"/>
      <c r="Q32" s="354"/>
      <c r="R32" s="354"/>
      <c r="S32" s="354"/>
      <c r="T32" s="354"/>
      <c r="U32" s="143"/>
      <c r="V32" s="143"/>
      <c r="W32" s="143"/>
      <c r="X32" s="193">
        <f>+I32</f>
        <v>0</v>
      </c>
      <c r="Y32" s="143"/>
      <c r="Z32" s="143"/>
      <c r="AA32" s="143"/>
      <c r="AB32" s="143"/>
      <c r="AC32" s="143"/>
      <c r="AD32" s="143"/>
      <c r="AE32" s="143"/>
      <c r="AF32" s="143"/>
      <c r="AG32" s="143"/>
      <c r="AH32" s="179"/>
      <c r="AI32" s="179"/>
      <c r="AJ32" s="179"/>
      <c r="AK32" s="179"/>
      <c r="AL32" s="179"/>
      <c r="AM32" s="179"/>
    </row>
    <row r="33" spans="1:39" s="121" customFormat="1" ht="21.75" customHeight="1" x14ac:dyDescent="0.3">
      <c r="A33" s="216" t="s">
        <v>1993</v>
      </c>
      <c r="B33" s="217"/>
      <c r="C33" s="217"/>
      <c r="D33" s="217"/>
      <c r="E33" s="217"/>
      <c r="F33" s="217"/>
      <c r="G33" s="217"/>
      <c r="H33" s="217"/>
      <c r="I33" s="343"/>
      <c r="J33" s="343"/>
      <c r="K33" s="343"/>
      <c r="L33" s="343"/>
      <c r="M33" s="343"/>
      <c r="N33" s="343"/>
      <c r="O33" s="343"/>
      <c r="P33" s="343"/>
      <c r="Q33" s="343"/>
      <c r="R33" s="343"/>
      <c r="S33" s="343"/>
      <c r="T33" s="416"/>
      <c r="U33" s="144"/>
      <c r="V33" s="143"/>
      <c r="W33" s="145"/>
      <c r="X33" s="143"/>
      <c r="Y33" s="143"/>
      <c r="Z33" s="143"/>
      <c r="AA33" s="143"/>
      <c r="AB33" s="143"/>
      <c r="AC33" s="143"/>
      <c r="AD33" s="143"/>
      <c r="AE33" s="143"/>
      <c r="AF33" s="143"/>
      <c r="AG33" s="143"/>
      <c r="AH33" s="179"/>
      <c r="AI33" s="179"/>
      <c r="AJ33" s="179"/>
      <c r="AK33" s="179"/>
      <c r="AL33" s="179"/>
      <c r="AM33" s="179"/>
    </row>
    <row r="34" spans="1:39" s="121" customFormat="1" ht="24.75" customHeight="1" x14ac:dyDescent="0.3">
      <c r="A34" s="523"/>
      <c r="B34" s="519"/>
      <c r="C34" s="519"/>
      <c r="D34" s="519"/>
      <c r="E34" s="519"/>
      <c r="F34" s="519"/>
      <c r="G34" s="519"/>
      <c r="H34" s="519"/>
      <c r="I34" s="234"/>
      <c r="J34" s="234"/>
      <c r="K34" s="234"/>
      <c r="L34" s="234"/>
      <c r="M34" s="234"/>
      <c r="N34" s="234"/>
      <c r="O34" s="234"/>
      <c r="P34" s="234"/>
      <c r="Q34" s="234"/>
      <c r="R34" s="234"/>
      <c r="S34" s="234"/>
      <c r="T34" s="234"/>
      <c r="U34" s="144"/>
      <c r="V34" s="143"/>
      <c r="W34" s="145"/>
      <c r="X34" s="143"/>
      <c r="Y34" s="143"/>
      <c r="Z34" s="143"/>
      <c r="AA34" s="143"/>
      <c r="AB34" s="143"/>
      <c r="AC34" s="143"/>
      <c r="AD34" s="143"/>
      <c r="AE34" s="143"/>
      <c r="AF34" s="143"/>
      <c r="AG34" s="143"/>
      <c r="AH34" s="179"/>
      <c r="AI34" s="179"/>
      <c r="AJ34" s="179"/>
      <c r="AK34" s="179"/>
      <c r="AL34" s="179"/>
      <c r="AM34" s="179"/>
    </row>
    <row r="35" spans="1:39" s="156" customFormat="1" ht="22.5" customHeight="1" x14ac:dyDescent="0.3">
      <c r="A35" s="529" t="s">
        <v>2017</v>
      </c>
      <c r="B35" s="530"/>
      <c r="C35" s="530"/>
      <c r="D35" s="530"/>
      <c r="E35" s="530"/>
      <c r="F35" s="530"/>
      <c r="G35" s="530"/>
      <c r="H35" s="530"/>
      <c r="I35" s="530"/>
      <c r="J35" s="530"/>
      <c r="K35" s="530"/>
      <c r="L35" s="530"/>
      <c r="M35" s="530"/>
      <c r="N35" s="530"/>
      <c r="O35" s="530"/>
      <c r="P35" s="530"/>
      <c r="Q35" s="530"/>
      <c r="R35" s="530"/>
      <c r="S35" s="530"/>
      <c r="T35" s="531"/>
      <c r="U35" s="144"/>
      <c r="V35" s="143"/>
      <c r="W35" s="145"/>
      <c r="X35" s="143"/>
      <c r="Y35" s="143"/>
      <c r="Z35" s="143"/>
      <c r="AA35" s="143"/>
      <c r="AB35" s="143"/>
      <c r="AC35" s="143"/>
      <c r="AD35" s="143"/>
      <c r="AE35" s="143"/>
      <c r="AF35" s="143"/>
      <c r="AG35" s="143"/>
      <c r="AH35" s="179"/>
      <c r="AI35" s="179"/>
      <c r="AJ35" s="179"/>
      <c r="AK35" s="179"/>
      <c r="AL35" s="179"/>
      <c r="AM35" s="179"/>
    </row>
    <row r="36" spans="1:39" s="156" customFormat="1" ht="24.75" customHeight="1" x14ac:dyDescent="0.3">
      <c r="A36" s="518"/>
      <c r="B36" s="519"/>
      <c r="C36" s="519"/>
      <c r="D36" s="519"/>
      <c r="E36" s="519"/>
      <c r="F36" s="519"/>
      <c r="G36" s="519"/>
      <c r="H36" s="520" t="str">
        <f>+IF(OR(A36="Otro correo Electrónico", A36=ISBLANK(" ")), "Otro correo Electrónico", " ")</f>
        <v>Otro correo Electrónico</v>
      </c>
      <c r="I36" s="521"/>
      <c r="J36" s="521"/>
      <c r="K36" s="521"/>
      <c r="L36" s="521"/>
      <c r="M36" s="164" t="str">
        <f>+IF(OR(A36="Otro correo Electrónico", A36=ISBLANK(" ")), "*", " ")</f>
        <v>*</v>
      </c>
      <c r="N36" s="522"/>
      <c r="O36" s="380"/>
      <c r="P36" s="380"/>
      <c r="Q36" s="380"/>
      <c r="R36" s="380"/>
      <c r="S36" s="380"/>
      <c r="T36" s="355"/>
      <c r="U36" s="144"/>
      <c r="V36" s="143"/>
      <c r="W36" s="145"/>
      <c r="X36" s="143"/>
      <c r="Y36" s="143"/>
      <c r="Z36" s="143"/>
      <c r="AA36" s="143"/>
      <c r="AB36" s="143"/>
      <c r="AC36" s="143"/>
      <c r="AD36" s="143"/>
      <c r="AE36" s="143"/>
      <c r="AF36" s="143"/>
      <c r="AG36" s="143"/>
      <c r="AH36" s="179"/>
      <c r="AI36" s="179"/>
      <c r="AJ36" s="179"/>
      <c r="AK36" s="179"/>
      <c r="AL36" s="179"/>
      <c r="AM36" s="179"/>
    </row>
    <row r="37" spans="1:39" s="121" customFormat="1" ht="21.75" customHeight="1" outlineLevel="1" x14ac:dyDescent="0.35">
      <c r="A37" s="415" t="s">
        <v>2018</v>
      </c>
      <c r="B37" s="343"/>
      <c r="C37" s="343"/>
      <c r="D37" s="343"/>
      <c r="E37" s="343"/>
      <c r="F37" s="343"/>
      <c r="G37" s="343"/>
      <c r="H37" s="343"/>
      <c r="I37" s="343"/>
      <c r="J37" s="343"/>
      <c r="K37" s="343"/>
      <c r="L37" s="343"/>
      <c r="M37" s="343"/>
      <c r="N37" s="343"/>
      <c r="O37" s="416"/>
      <c r="P37" s="525"/>
      <c r="Q37" s="526"/>
      <c r="R37" s="526"/>
      <c r="S37" s="527"/>
      <c r="T37" s="528"/>
      <c r="U37" s="119"/>
      <c r="V37" s="143"/>
      <c r="W37" s="143"/>
      <c r="X37" s="143"/>
      <c r="Y37" s="143"/>
      <c r="Z37" s="143"/>
      <c r="AA37" s="143"/>
      <c r="AB37" s="143"/>
      <c r="AC37" s="143"/>
      <c r="AD37" s="143"/>
      <c r="AE37" s="143"/>
      <c r="AF37" s="143"/>
      <c r="AG37" s="143"/>
      <c r="AH37" s="179"/>
      <c r="AI37" s="179"/>
      <c r="AJ37" s="179"/>
      <c r="AK37" s="179"/>
      <c r="AL37" s="179"/>
      <c r="AM37" s="179"/>
    </row>
    <row r="38" spans="1:39" s="121" customFormat="1" ht="24.75" customHeight="1" x14ac:dyDescent="0.3">
      <c r="A38" s="216" t="str">
        <f>+IF(OR(P37="Si", P37=ISBLANK(" ")), "Cargo", " ")</f>
        <v>Cargo</v>
      </c>
      <c r="B38" s="537"/>
      <c r="C38" s="166" t="str">
        <f>+IF(OR(P37="Si", P37=ISBLANK(" ")), "*", " ")</f>
        <v>*</v>
      </c>
      <c r="D38" s="540"/>
      <c r="E38" s="541"/>
      <c r="F38" s="541"/>
      <c r="G38" s="541"/>
      <c r="H38" s="541"/>
      <c r="I38" s="541"/>
      <c r="J38" s="542"/>
      <c r="K38" s="216" t="str">
        <f>+IF(OR(P37="Si", P37=ISBLANK(" ")), "Fecha de Inicio", " ")</f>
        <v>Fecha de Inicio</v>
      </c>
      <c r="L38" s="535"/>
      <c r="M38" s="535"/>
      <c r="N38" s="536" t="str">
        <f>+IF(OR(P37="Si", P37=ISBLANK(" ")), "dd/mm/aaaa", " ")</f>
        <v>dd/mm/aaaa</v>
      </c>
      <c r="O38" s="537"/>
      <c r="P38" s="129" t="str">
        <f>+IF(OR(P37="Si", P37=ISBLANK(" ")), "*", " ")</f>
        <v>*</v>
      </c>
      <c r="Q38" s="127"/>
      <c r="R38" s="128"/>
      <c r="S38" s="511"/>
      <c r="T38" s="512"/>
      <c r="U38" s="146"/>
      <c r="V38" s="143"/>
      <c r="W38" s="143"/>
      <c r="X38" s="143"/>
      <c r="Y38" s="143"/>
      <c r="Z38" s="193" t="str">
        <f>+IF(OR(P37="Si", P37=ISBLANK(" ")), "pep", "nopep")</f>
        <v>pep</v>
      </c>
      <c r="AA38" s="143"/>
      <c r="AB38" s="143"/>
      <c r="AC38" s="143"/>
      <c r="AD38" s="143"/>
      <c r="AE38" s="143"/>
      <c r="AF38" s="143"/>
      <c r="AG38" s="143"/>
      <c r="AH38" s="179"/>
      <c r="AI38" s="179"/>
      <c r="AJ38" s="179"/>
      <c r="AK38" s="179"/>
      <c r="AL38" s="179"/>
      <c r="AM38" s="179"/>
    </row>
    <row r="39" spans="1:39" s="121" customFormat="1" ht="24.75" customHeight="1" x14ac:dyDescent="0.3">
      <c r="A39" s="221" t="str">
        <f>+IF(OR(P37="Si", P37=ISBLANK(" ")), "PEP Actual", " ")</f>
        <v>PEP Actual</v>
      </c>
      <c r="B39" s="222"/>
      <c r="C39" s="223"/>
      <c r="D39" s="167" t="str">
        <f>+IF(OR(P37="Si", P37=ISBLANK(" ")), "*", " ")</f>
        <v>*</v>
      </c>
      <c r="E39" s="224" t="str">
        <f>+IF(OR(P37="Si", P37=ISBLANK(" ")), "Seleccione del menú Si/No", " ")</f>
        <v>Seleccione del menú Si/No</v>
      </c>
      <c r="F39" s="225"/>
      <c r="G39" s="225"/>
      <c r="H39" s="226"/>
      <c r="I39" s="513"/>
      <c r="J39" s="514"/>
      <c r="K39" s="221" t="str">
        <f>+IF(AND(Z38="pep", Z39="pep"), "Fecha Final", " ")</f>
        <v>Fecha Final</v>
      </c>
      <c r="L39" s="538"/>
      <c r="M39" s="538"/>
      <c r="N39" s="539" t="str">
        <f>+IF(AND(Z38="pep", Z39="pep"),  "dd/mm/aaaa", " ")</f>
        <v>dd/mm/aaaa</v>
      </c>
      <c r="O39" s="223"/>
      <c r="P39" s="168" t="str">
        <f>+IF(K39="Fecha Final", "*", " ")</f>
        <v>*</v>
      </c>
      <c r="Q39" s="169"/>
      <c r="R39" s="159"/>
      <c r="S39" s="515"/>
      <c r="T39" s="516"/>
      <c r="U39" s="146"/>
      <c r="V39" s="143"/>
      <c r="W39" s="143"/>
      <c r="X39" s="143"/>
      <c r="Y39" s="143"/>
      <c r="Z39" s="193" t="str">
        <f>+IF(OR(I39="no",I39=ISBLANK(" ")), "pep", "nopep")</f>
        <v>pep</v>
      </c>
      <c r="AA39" s="143"/>
      <c r="AB39" s="143"/>
      <c r="AC39" s="143"/>
      <c r="AD39" s="143"/>
      <c r="AE39" s="143"/>
      <c r="AF39" s="143"/>
      <c r="AG39" s="143"/>
      <c r="AH39" s="179"/>
      <c r="AI39" s="179"/>
      <c r="AJ39" s="179"/>
      <c r="AK39" s="179"/>
      <c r="AL39" s="179"/>
      <c r="AM39" s="179"/>
    </row>
    <row r="40" spans="1:39" s="121" customFormat="1" ht="23.25" outlineLevel="1" x14ac:dyDescent="0.25">
      <c r="A40" s="415" t="s">
        <v>2019</v>
      </c>
      <c r="B40" s="343"/>
      <c r="C40" s="343"/>
      <c r="D40" s="343"/>
      <c r="E40" s="343"/>
      <c r="F40" s="343"/>
      <c r="G40" s="343"/>
      <c r="H40" s="343"/>
      <c r="I40" s="343"/>
      <c r="J40" s="343"/>
      <c r="K40" s="343"/>
      <c r="L40" s="343"/>
      <c r="M40" s="343"/>
      <c r="N40" s="343"/>
      <c r="O40" s="343"/>
      <c r="P40" s="343"/>
      <c r="Q40" s="343"/>
      <c r="R40" s="416"/>
      <c r="S40" s="245"/>
      <c r="T40" s="517"/>
      <c r="U40" s="119"/>
      <c r="V40" s="143"/>
      <c r="W40" s="143"/>
      <c r="X40" s="143"/>
      <c r="Y40" s="143"/>
      <c r="Z40" s="143"/>
      <c r="AA40" s="143"/>
      <c r="AB40" s="143"/>
      <c r="AC40" s="143"/>
      <c r="AD40" s="143"/>
      <c r="AE40" s="143"/>
      <c r="AF40" s="143"/>
      <c r="AG40" s="143"/>
      <c r="AH40" s="179"/>
      <c r="AI40" s="179"/>
      <c r="AJ40" s="179"/>
      <c r="AK40" s="179"/>
      <c r="AL40" s="179"/>
      <c r="AM40" s="179"/>
    </row>
    <row r="41" spans="1:39" s="121" customFormat="1" ht="24.75" customHeight="1" x14ac:dyDescent="0.25">
      <c r="A41" s="216" t="str">
        <f>+IF(OR(S40="Si", S40=ISBLANK(" ")), "Nombre del PEP", " ")</f>
        <v>Nombre del PEP</v>
      </c>
      <c r="B41" s="427"/>
      <c r="C41" s="427"/>
      <c r="D41" s="136" t="str">
        <f>+IF(OR(S40="Si", S40=ISBLANK(" ")), "*", " ")</f>
        <v>*</v>
      </c>
      <c r="E41" s="496"/>
      <c r="F41" s="497"/>
      <c r="G41" s="497"/>
      <c r="H41" s="497"/>
      <c r="I41" s="497"/>
      <c r="J41" s="497"/>
      <c r="K41" s="497"/>
      <c r="L41" s="497"/>
      <c r="M41" s="497"/>
      <c r="N41" s="498"/>
      <c r="O41" s="498"/>
      <c r="P41" s="498"/>
      <c r="Q41" s="498"/>
      <c r="R41" s="498"/>
      <c r="S41" s="498"/>
      <c r="T41" s="499"/>
      <c r="U41" s="147"/>
      <c r="V41" s="143"/>
      <c r="W41" s="143"/>
      <c r="X41" s="143"/>
      <c r="Y41" s="143"/>
      <c r="Z41" s="143"/>
      <c r="AA41" s="143"/>
      <c r="AB41" s="143"/>
      <c r="AC41" s="143"/>
      <c r="AD41" s="143"/>
      <c r="AE41" s="143"/>
      <c r="AF41" s="143"/>
      <c r="AG41" s="143"/>
      <c r="AH41" s="179"/>
      <c r="AI41" s="179"/>
      <c r="AJ41" s="179"/>
      <c r="AK41" s="179"/>
      <c r="AL41" s="179"/>
      <c r="AM41" s="179"/>
    </row>
    <row r="42" spans="1:39" s="121" customFormat="1" ht="24.75" customHeight="1" x14ac:dyDescent="0.25">
      <c r="A42" s="216" t="str">
        <f>+IF(OR(S40="Si", S40=ISBLANK(" ")), "Detalle del Vinculo", " ")</f>
        <v>Detalle del Vinculo</v>
      </c>
      <c r="B42" s="217"/>
      <c r="C42" s="217"/>
      <c r="D42" s="507"/>
      <c r="E42" s="170" t="str">
        <f>+IF(OR(S40="Si", S40=ISBLANK(" ")), "*", " ")</f>
        <v>*</v>
      </c>
      <c r="F42" s="508"/>
      <c r="G42" s="509"/>
      <c r="H42" s="509"/>
      <c r="I42" s="509"/>
      <c r="J42" s="509"/>
      <c r="K42" s="509"/>
      <c r="L42" s="509"/>
      <c r="M42" s="509"/>
      <c r="N42" s="509"/>
      <c r="O42" s="509"/>
      <c r="P42" s="509"/>
      <c r="Q42" s="509"/>
      <c r="R42" s="509"/>
      <c r="S42" s="509"/>
      <c r="T42" s="510"/>
      <c r="U42" s="147"/>
      <c r="V42" s="143"/>
      <c r="W42" s="143"/>
      <c r="X42" s="143"/>
      <c r="Y42" s="143"/>
      <c r="Z42" s="143"/>
      <c r="AA42" s="143"/>
      <c r="AB42" s="143"/>
      <c r="AC42" s="143"/>
      <c r="AD42" s="143"/>
      <c r="AE42" s="143"/>
      <c r="AF42" s="143"/>
      <c r="AG42" s="143"/>
      <c r="AH42" s="179"/>
      <c r="AI42" s="179"/>
      <c r="AJ42" s="179"/>
      <c r="AK42" s="179"/>
      <c r="AL42" s="179"/>
      <c r="AM42" s="179"/>
    </row>
    <row r="43" spans="1:39" s="121" customFormat="1" ht="24.75" customHeight="1" x14ac:dyDescent="0.35">
      <c r="A43" s="500" t="s">
        <v>1896</v>
      </c>
      <c r="B43" s="501"/>
      <c r="C43" s="501"/>
      <c r="D43" s="501"/>
      <c r="E43" s="501"/>
      <c r="F43" s="501"/>
      <c r="G43" s="501"/>
      <c r="H43" s="501"/>
      <c r="I43" s="501"/>
      <c r="J43" s="501"/>
      <c r="K43" s="501"/>
      <c r="L43" s="501"/>
      <c r="M43" s="501"/>
      <c r="N43" s="501"/>
      <c r="O43" s="501"/>
      <c r="P43" s="501"/>
      <c r="Q43" s="501"/>
      <c r="R43" s="501"/>
      <c r="S43" s="501"/>
      <c r="T43" s="501"/>
      <c r="U43" s="142"/>
      <c r="V43" s="143"/>
      <c r="W43" s="143"/>
      <c r="X43" s="143"/>
      <c r="Y43" s="143"/>
      <c r="Z43" s="143"/>
      <c r="AA43" s="143"/>
      <c r="AB43" s="143"/>
      <c r="AC43" s="143"/>
      <c r="AD43" s="143"/>
      <c r="AE43" s="143"/>
      <c r="AF43" s="143"/>
      <c r="AG43" s="143"/>
      <c r="AH43" s="179"/>
      <c r="AI43" s="179"/>
      <c r="AJ43" s="179"/>
      <c r="AK43" s="179"/>
      <c r="AL43" s="179"/>
      <c r="AM43" s="179"/>
    </row>
    <row r="44" spans="1:39" s="121" customFormat="1" ht="24.75" customHeight="1" x14ac:dyDescent="0.2">
      <c r="A44" s="502" t="s">
        <v>1995</v>
      </c>
      <c r="B44" s="502"/>
      <c r="C44" s="502"/>
      <c r="D44" s="502"/>
      <c r="E44" s="502"/>
      <c r="F44" s="502"/>
      <c r="G44" s="502"/>
      <c r="H44" s="502"/>
      <c r="I44" s="503"/>
      <c r="J44" s="503"/>
      <c r="K44" s="503"/>
      <c r="L44" s="503"/>
      <c r="M44" s="503"/>
      <c r="N44" s="503"/>
      <c r="O44" s="503"/>
      <c r="P44" s="503"/>
      <c r="Q44" s="504"/>
      <c r="R44" s="504"/>
      <c r="S44" s="504"/>
      <c r="T44" s="504"/>
      <c r="U44" s="143"/>
      <c r="V44" s="143"/>
      <c r="W44" s="143"/>
      <c r="X44" s="143"/>
      <c r="Y44" s="143"/>
      <c r="Z44" s="143"/>
      <c r="AA44" s="143"/>
      <c r="AB44" s="143"/>
      <c r="AC44" s="143"/>
      <c r="AD44" s="143"/>
      <c r="AE44" s="143"/>
      <c r="AF44" s="143"/>
      <c r="AG44" s="143"/>
      <c r="AH44" s="179"/>
      <c r="AI44" s="179"/>
      <c r="AJ44" s="179"/>
      <c r="AK44" s="179"/>
      <c r="AL44" s="179"/>
      <c r="AM44" s="179"/>
    </row>
    <row r="45" spans="1:39" s="121" customFormat="1" ht="24.75" customHeight="1" x14ac:dyDescent="0.3">
      <c r="A45" s="505" t="s">
        <v>1271</v>
      </c>
      <c r="B45" s="505"/>
      <c r="C45" s="505"/>
      <c r="D45" s="505"/>
      <c r="E45" s="505"/>
      <c r="F45" s="505"/>
      <c r="G45" s="505"/>
      <c r="H45" s="506"/>
      <c r="I45" s="379"/>
      <c r="J45" s="354"/>
      <c r="K45" s="354"/>
      <c r="L45" s="354"/>
      <c r="M45" s="354"/>
      <c r="N45" s="354"/>
      <c r="O45" s="354"/>
      <c r="P45" s="354"/>
      <c r="Q45" s="354"/>
      <c r="R45" s="234"/>
      <c r="S45" s="234"/>
      <c r="T45" s="234"/>
      <c r="U45" s="144"/>
      <c r="V45" s="143"/>
      <c r="W45" s="143"/>
      <c r="X45" s="143"/>
      <c r="Y45" s="143"/>
      <c r="Z45" s="143"/>
      <c r="AA45" s="143"/>
      <c r="AB45" s="143"/>
      <c r="AC45" s="143"/>
      <c r="AD45" s="143"/>
      <c r="AE45" s="143"/>
      <c r="AF45" s="143"/>
      <c r="AG45" s="143"/>
      <c r="AH45" s="179"/>
      <c r="AI45" s="179"/>
      <c r="AJ45" s="179"/>
      <c r="AK45" s="179"/>
      <c r="AL45" s="179"/>
      <c r="AM45" s="179"/>
    </row>
    <row r="46" spans="1:39" s="121" customFormat="1" ht="24.75" customHeight="1" x14ac:dyDescent="0.35">
      <c r="A46" s="476" t="s">
        <v>1996</v>
      </c>
      <c r="B46" s="454"/>
      <c r="C46" s="454"/>
      <c r="D46" s="454"/>
      <c r="E46" s="454"/>
      <c r="F46" s="454"/>
      <c r="G46" s="454"/>
      <c r="H46" s="454"/>
      <c r="I46" s="454"/>
      <c r="J46" s="454"/>
      <c r="K46" s="454"/>
      <c r="L46" s="454"/>
      <c r="M46" s="454"/>
      <c r="N46" s="454"/>
      <c r="O46" s="454"/>
      <c r="P46" s="454"/>
      <c r="Q46" s="454"/>
      <c r="R46" s="454"/>
      <c r="S46" s="454"/>
      <c r="T46" s="455"/>
      <c r="U46" s="144"/>
      <c r="V46" s="143"/>
      <c r="W46" s="143"/>
      <c r="X46" s="143"/>
      <c r="Y46" s="143"/>
      <c r="Z46" s="143"/>
      <c r="AA46" s="143"/>
      <c r="AB46" s="143"/>
      <c r="AC46" s="143"/>
      <c r="AD46" s="143"/>
      <c r="AE46" s="143"/>
      <c r="AF46" s="143"/>
      <c r="AG46" s="143"/>
      <c r="AH46" s="179"/>
      <c r="AI46" s="179"/>
      <c r="AJ46" s="179"/>
      <c r="AK46" s="179"/>
      <c r="AL46" s="179"/>
      <c r="AM46" s="179"/>
    </row>
    <row r="47" spans="1:39" s="121" customFormat="1" ht="45.75" customHeight="1" x14ac:dyDescent="0.3">
      <c r="A47" s="477" t="s">
        <v>1997</v>
      </c>
      <c r="B47" s="478"/>
      <c r="C47" s="478"/>
      <c r="D47" s="479"/>
      <c r="E47" s="480"/>
      <c r="F47" s="481"/>
      <c r="G47" s="481"/>
      <c r="H47" s="481"/>
      <c r="I47" s="481"/>
      <c r="J47" s="482" t="s">
        <v>1998</v>
      </c>
      <c r="K47" s="483"/>
      <c r="L47" s="483"/>
      <c r="M47" s="483"/>
      <c r="N47" s="484"/>
      <c r="O47" s="485"/>
      <c r="P47" s="486"/>
      <c r="Q47" s="486"/>
      <c r="R47" s="486"/>
      <c r="S47" s="486"/>
      <c r="T47" s="487"/>
      <c r="U47" s="144"/>
      <c r="V47" s="143"/>
      <c r="W47" s="143"/>
      <c r="X47" s="143"/>
      <c r="Y47" s="143"/>
      <c r="Z47" s="143"/>
      <c r="AA47" s="143"/>
      <c r="AB47" s="143"/>
      <c r="AC47" s="143"/>
      <c r="AD47" s="143"/>
      <c r="AE47" s="143"/>
      <c r="AF47" s="143"/>
      <c r="AG47" s="143"/>
      <c r="AH47" s="179"/>
      <c r="AI47" s="179"/>
      <c r="AJ47" s="179"/>
      <c r="AK47" s="179"/>
      <c r="AL47" s="179"/>
      <c r="AM47" s="179"/>
    </row>
    <row r="48" spans="1:39" s="120" customFormat="1" ht="24.75" customHeight="1" outlineLevel="1" x14ac:dyDescent="0.35">
      <c r="A48" s="476" t="s">
        <v>1999</v>
      </c>
      <c r="B48" s="454"/>
      <c r="C48" s="454"/>
      <c r="D48" s="454"/>
      <c r="E48" s="454"/>
      <c r="F48" s="454"/>
      <c r="G48" s="454"/>
      <c r="H48" s="454"/>
      <c r="I48" s="454"/>
      <c r="J48" s="454"/>
      <c r="K48" s="454"/>
      <c r="L48" s="454"/>
      <c r="M48" s="454"/>
      <c r="N48" s="454"/>
      <c r="O48" s="455"/>
      <c r="P48" s="488"/>
      <c r="Q48" s="489"/>
      <c r="R48" s="490"/>
      <c r="S48" s="491"/>
      <c r="T48" s="492"/>
      <c r="U48" s="119"/>
      <c r="V48" s="119"/>
      <c r="W48" s="119"/>
      <c r="X48" s="119"/>
      <c r="Y48" s="119"/>
      <c r="Z48" s="119"/>
      <c r="AA48" s="119"/>
      <c r="AB48" s="119"/>
      <c r="AC48" s="119"/>
      <c r="AD48" s="119"/>
      <c r="AE48" s="119"/>
      <c r="AF48" s="119"/>
      <c r="AG48" s="119"/>
      <c r="AH48" s="113"/>
      <c r="AI48" s="113"/>
      <c r="AJ48" s="113"/>
      <c r="AK48" s="113"/>
      <c r="AL48" s="113"/>
      <c r="AM48" s="113"/>
    </row>
    <row r="49" spans="1:45" s="114" customFormat="1" ht="21.75" customHeight="1" outlineLevel="1" x14ac:dyDescent="0.25">
      <c r="A49" s="250" t="str">
        <f>+IF(OR(P48="Si", P48=ISBLANK(" ")), "Tipo de Persona", " ")</f>
        <v>Tipo de Persona</v>
      </c>
      <c r="B49" s="251"/>
      <c r="C49" s="251"/>
      <c r="D49" s="131" t="str">
        <f>+IF(A49= "Tipo de Persona", "*", " ")</f>
        <v>*</v>
      </c>
      <c r="E49" s="250" t="str">
        <f>+IF(OR(P48="Si", P48=ISBLANK(" ")),  "Nombre Completo del Contratante", " ")</f>
        <v>Nombre Completo del Contratante</v>
      </c>
      <c r="F49" s="252"/>
      <c r="G49" s="252"/>
      <c r="H49" s="252"/>
      <c r="I49" s="252"/>
      <c r="J49" s="252"/>
      <c r="K49" s="252"/>
      <c r="L49" s="252"/>
      <c r="M49" s="252"/>
      <c r="N49" s="132" t="str">
        <f>+IF(E49= "Nombre Completo del Contratante", "*", " ")</f>
        <v>*</v>
      </c>
      <c r="O49" s="253" t="str">
        <f>+IF(OR(P48="Si", P48=ISBLANK(" ")), "Nota: El Contratante en este caso debe llenar el formulario de conoce a tu cliente aparte", " ")</f>
        <v>Nota: El Contratante en este caso debe llenar el formulario de conoce a tu cliente aparte</v>
      </c>
      <c r="P49" s="493"/>
      <c r="Q49" s="493"/>
      <c r="R49" s="493"/>
      <c r="S49" s="493"/>
      <c r="T49" s="493"/>
      <c r="U49" s="148"/>
      <c r="V49" s="148"/>
      <c r="W49" s="148"/>
      <c r="X49" s="148"/>
      <c r="Y49" s="148"/>
      <c r="Z49" s="148"/>
      <c r="AA49" s="148"/>
      <c r="AB49" s="148"/>
      <c r="AC49" s="148"/>
      <c r="AD49" s="148"/>
      <c r="AE49" s="148"/>
      <c r="AF49" s="148"/>
      <c r="AG49" s="148"/>
      <c r="AH49" s="198"/>
      <c r="AI49" s="198"/>
      <c r="AJ49" s="198"/>
      <c r="AK49" s="198"/>
      <c r="AL49" s="198"/>
      <c r="AM49" s="198"/>
    </row>
    <row r="50" spans="1:45" s="120" customFormat="1" ht="24.75" customHeight="1" outlineLevel="1" x14ac:dyDescent="0.25">
      <c r="A50" s="256"/>
      <c r="B50" s="256"/>
      <c r="C50" s="256"/>
      <c r="D50" s="256"/>
      <c r="E50" s="257"/>
      <c r="F50" s="258"/>
      <c r="G50" s="258"/>
      <c r="H50" s="258"/>
      <c r="I50" s="258"/>
      <c r="J50" s="258"/>
      <c r="K50" s="258"/>
      <c r="L50" s="258"/>
      <c r="M50" s="258"/>
      <c r="N50" s="259"/>
      <c r="O50" s="494"/>
      <c r="P50" s="494"/>
      <c r="Q50" s="494"/>
      <c r="R50" s="494"/>
      <c r="S50" s="494"/>
      <c r="T50" s="494"/>
      <c r="U50" s="119"/>
      <c r="V50" s="119"/>
      <c r="W50" s="119"/>
      <c r="X50" s="119"/>
      <c r="Y50" s="119"/>
      <c r="Z50" s="199" t="str">
        <f>+_xlfn.IFS(A52="Cedula", "pan", OR(A52="Pasaporte", A52=ISBLANK(" "), A52="RUC", A52="Otros"), "nopan")</f>
        <v>nopan</v>
      </c>
      <c r="AA50" s="119"/>
      <c r="AB50" s="119"/>
      <c r="AC50" s="119"/>
      <c r="AD50" s="119"/>
      <c r="AE50" s="119"/>
      <c r="AF50" s="119"/>
      <c r="AG50" s="119"/>
      <c r="AH50" s="113"/>
      <c r="AI50" s="113"/>
      <c r="AJ50" s="113"/>
      <c r="AK50" s="113"/>
      <c r="AL50" s="113"/>
      <c r="AM50" s="113"/>
    </row>
    <row r="51" spans="1:45" s="120" customFormat="1" ht="21.75" customHeight="1" outlineLevel="1" x14ac:dyDescent="0.3">
      <c r="A51" s="250" t="str">
        <f>+IF(OR(P48="Si", P48=ISBLANK(" ")), "Tipo de ID", " ")</f>
        <v>Tipo de ID</v>
      </c>
      <c r="B51" s="251"/>
      <c r="C51" s="251"/>
      <c r="D51" s="131" t="str">
        <f>+IF(A51= "Tipo de ID", "*", " ")</f>
        <v>*</v>
      </c>
      <c r="E51" s="250" t="str">
        <f>+IF(OR(P48="Si", P48=ISBLANK(" ")), "Identificación", " ")</f>
        <v>Identificación</v>
      </c>
      <c r="F51" s="252"/>
      <c r="G51" s="252"/>
      <c r="H51" s="252"/>
      <c r="I51" s="252"/>
      <c r="J51" s="252"/>
      <c r="K51" s="252"/>
      <c r="L51" s="252"/>
      <c r="M51" s="252"/>
      <c r="N51" s="132" t="str">
        <f>+IF(E51= "Identificación", "*", " ")</f>
        <v>*</v>
      </c>
      <c r="O51" s="494"/>
      <c r="P51" s="494"/>
      <c r="Q51" s="494"/>
      <c r="R51" s="494"/>
      <c r="S51" s="494"/>
      <c r="T51" s="494"/>
      <c r="U51" s="149"/>
      <c r="V51" s="119"/>
      <c r="W51" s="119"/>
      <c r="X51" s="119"/>
      <c r="Y51" s="119"/>
      <c r="Z51" s="119"/>
      <c r="AA51" s="119"/>
      <c r="AB51" s="119"/>
      <c r="AC51" s="119"/>
      <c r="AD51" s="119"/>
      <c r="AE51" s="119"/>
      <c r="AF51" s="119"/>
      <c r="AG51" s="119"/>
      <c r="AH51" s="113"/>
      <c r="AI51" s="113"/>
      <c r="AJ51" s="113"/>
      <c r="AK51" s="113"/>
      <c r="AL51" s="113"/>
      <c r="AM51" s="113"/>
    </row>
    <row r="52" spans="1:45" s="120" customFormat="1" ht="24.75" customHeight="1" outlineLevel="1" x14ac:dyDescent="0.3">
      <c r="A52" s="256"/>
      <c r="B52" s="256"/>
      <c r="C52" s="256"/>
      <c r="D52" s="256"/>
      <c r="E52" s="130"/>
      <c r="F52" s="130"/>
      <c r="G52" s="257"/>
      <c r="H52" s="257"/>
      <c r="I52" s="257"/>
      <c r="J52" s="257"/>
      <c r="K52" s="257"/>
      <c r="L52" s="257"/>
      <c r="M52" s="257"/>
      <c r="N52" s="475"/>
      <c r="O52" s="494"/>
      <c r="P52" s="494"/>
      <c r="Q52" s="494"/>
      <c r="R52" s="494"/>
      <c r="S52" s="494"/>
      <c r="T52" s="495"/>
      <c r="U52" s="149"/>
      <c r="V52" s="119"/>
      <c r="W52" s="119"/>
      <c r="X52" s="119"/>
      <c r="Y52" s="119"/>
      <c r="Z52" s="119"/>
      <c r="AA52" s="119"/>
      <c r="AB52" s="119"/>
      <c r="AC52" s="119"/>
      <c r="AD52" s="119"/>
      <c r="AE52" s="119"/>
      <c r="AF52" s="119"/>
      <c r="AG52" s="119"/>
      <c r="AH52" s="113"/>
      <c r="AI52" s="113"/>
      <c r="AJ52" s="113"/>
      <c r="AK52" s="113"/>
      <c r="AL52" s="113"/>
      <c r="AM52" s="113"/>
    </row>
    <row r="53" spans="1:45" s="120" customFormat="1" ht="24.75" customHeight="1" outlineLevel="1" x14ac:dyDescent="0.25">
      <c r="A53" s="243" t="s">
        <v>2000</v>
      </c>
      <c r="B53" s="244"/>
      <c r="C53" s="244"/>
      <c r="D53" s="244"/>
      <c r="E53" s="244"/>
      <c r="F53" s="244"/>
      <c r="G53" s="244"/>
      <c r="H53" s="244"/>
      <c r="I53" s="244"/>
      <c r="J53" s="244"/>
      <c r="K53" s="244"/>
      <c r="L53" s="244"/>
      <c r="M53" s="244"/>
      <c r="N53" s="244"/>
      <c r="O53" s="244"/>
      <c r="P53" s="245"/>
      <c r="Q53" s="246"/>
      <c r="R53" s="247"/>
      <c r="S53" s="248"/>
      <c r="T53" s="249"/>
      <c r="U53" s="119"/>
      <c r="V53" s="119"/>
      <c r="W53" s="119"/>
      <c r="X53" s="119"/>
      <c r="Y53" s="119"/>
      <c r="Z53" s="119"/>
      <c r="AA53" s="119"/>
      <c r="AB53" s="119"/>
      <c r="AC53" s="119"/>
      <c r="AD53" s="119"/>
      <c r="AE53" s="119"/>
      <c r="AF53" s="119"/>
      <c r="AG53" s="119"/>
      <c r="AH53" s="113"/>
      <c r="AI53" s="113"/>
      <c r="AJ53" s="113"/>
      <c r="AK53" s="113"/>
      <c r="AL53" s="113"/>
      <c r="AM53" s="113"/>
    </row>
    <row r="54" spans="1:45" s="114" customFormat="1" ht="21.75" customHeight="1" outlineLevel="1" x14ac:dyDescent="0.25">
      <c r="A54" s="250" t="str">
        <f>+IF(OR(P53="Si", P53=ISBLANK(" ")), "Tipo de Persona", " ")</f>
        <v>Tipo de Persona</v>
      </c>
      <c r="B54" s="251"/>
      <c r="C54" s="251"/>
      <c r="D54" s="131" t="str">
        <f>+IF(A54= "Tipo de Persona", "*", " ")</f>
        <v>*</v>
      </c>
      <c r="E54" s="250" t="str">
        <f>+IF(OR(P53="Si", P53=ISBLANK(" ")),  "Nombre Completo del Pagador", " ")</f>
        <v>Nombre Completo del Pagador</v>
      </c>
      <c r="F54" s="252"/>
      <c r="G54" s="252"/>
      <c r="H54" s="252"/>
      <c r="I54" s="252"/>
      <c r="J54" s="252"/>
      <c r="K54" s="252"/>
      <c r="L54" s="252"/>
      <c r="M54" s="252"/>
      <c r="N54" s="132" t="str">
        <f>+IF(E54= "Nombre Completo del Pagador", "*", " ")</f>
        <v>*</v>
      </c>
      <c r="O54" s="253" t="str">
        <f>+IF(OR(P53="Si", P53=ISBLANK(" ")), "Nota: El Pagador en este caso debe llenar el formulario de conoce a tu cliente aparte", " ")</f>
        <v>Nota: El Pagador en este caso debe llenar el formulario de conoce a tu cliente aparte</v>
      </c>
      <c r="P54" s="253"/>
      <c r="Q54" s="253"/>
      <c r="R54" s="253"/>
      <c r="S54" s="253"/>
      <c r="T54" s="253"/>
      <c r="U54" s="148"/>
      <c r="V54" s="148"/>
      <c r="W54" s="148"/>
      <c r="X54" s="148"/>
      <c r="Y54" s="148"/>
      <c r="Z54" s="148"/>
      <c r="AA54" s="148"/>
      <c r="AB54" s="148"/>
      <c r="AC54" s="148"/>
      <c r="AD54" s="148"/>
      <c r="AE54" s="148"/>
      <c r="AF54" s="148"/>
      <c r="AG54" s="148"/>
      <c r="AH54" s="198"/>
      <c r="AI54" s="198"/>
      <c r="AJ54" s="198"/>
      <c r="AK54" s="198"/>
      <c r="AL54" s="198"/>
      <c r="AM54" s="198"/>
    </row>
    <row r="55" spans="1:45" s="120" customFormat="1" ht="24.75" customHeight="1" outlineLevel="1" x14ac:dyDescent="0.25">
      <c r="A55" s="256"/>
      <c r="B55" s="256"/>
      <c r="C55" s="256"/>
      <c r="D55" s="256"/>
      <c r="E55" s="257"/>
      <c r="F55" s="258"/>
      <c r="G55" s="258"/>
      <c r="H55" s="258"/>
      <c r="I55" s="258"/>
      <c r="J55" s="258"/>
      <c r="K55" s="258"/>
      <c r="L55" s="258"/>
      <c r="M55" s="258"/>
      <c r="N55" s="259"/>
      <c r="O55" s="254"/>
      <c r="P55" s="254"/>
      <c r="Q55" s="254"/>
      <c r="R55" s="254"/>
      <c r="S55" s="254"/>
      <c r="T55" s="254"/>
      <c r="U55" s="119"/>
      <c r="V55" s="119"/>
      <c r="W55" s="119"/>
      <c r="X55" s="119"/>
      <c r="Y55" s="119"/>
      <c r="Z55" s="199" t="str">
        <f>+_xlfn.IFS(A57="Cedula", "pan", OR(A57="Pasaporte", A57=ISBLANK(" "), A57="RUC", A57="Otros"), "nopan")</f>
        <v>nopan</v>
      </c>
      <c r="AA55" s="119"/>
      <c r="AB55" s="119"/>
      <c r="AC55" s="119"/>
      <c r="AD55" s="119"/>
      <c r="AE55" s="119"/>
      <c r="AF55" s="119"/>
      <c r="AG55" s="119"/>
      <c r="AH55" s="113"/>
      <c r="AI55" s="113"/>
      <c r="AJ55" s="113"/>
      <c r="AK55" s="113"/>
      <c r="AL55" s="113"/>
      <c r="AM55" s="113"/>
    </row>
    <row r="56" spans="1:45" s="120" customFormat="1" ht="21.75" customHeight="1" outlineLevel="1" x14ac:dyDescent="0.3">
      <c r="A56" s="250" t="str">
        <f>+IF(OR(P53="Si", P53=ISBLANK(" ")), "Tipo de ID", " ")</f>
        <v>Tipo de ID</v>
      </c>
      <c r="B56" s="251"/>
      <c r="C56" s="251"/>
      <c r="D56" s="131" t="str">
        <f>+IF(A56= "Tipo de ID", "*", " ")</f>
        <v>*</v>
      </c>
      <c r="E56" s="250" t="str">
        <f>+IF(OR(P53="Si", P53=ISBLANK(" ")), "Identificación", " ")</f>
        <v>Identificación</v>
      </c>
      <c r="F56" s="252"/>
      <c r="G56" s="252"/>
      <c r="H56" s="252"/>
      <c r="I56" s="252"/>
      <c r="J56" s="252"/>
      <c r="K56" s="252"/>
      <c r="L56" s="252"/>
      <c r="M56" s="252"/>
      <c r="N56" s="132" t="str">
        <f>+IF(E56= "Identificación", "*", " ")</f>
        <v>*</v>
      </c>
      <c r="O56" s="254"/>
      <c r="P56" s="254"/>
      <c r="Q56" s="254"/>
      <c r="R56" s="254"/>
      <c r="S56" s="254"/>
      <c r="T56" s="254"/>
      <c r="U56" s="149"/>
      <c r="V56" s="119"/>
      <c r="W56" s="119"/>
      <c r="X56" s="119"/>
      <c r="Y56" s="119"/>
      <c r="Z56" s="119"/>
      <c r="AA56" s="119"/>
      <c r="AB56" s="119"/>
      <c r="AC56" s="119"/>
      <c r="AD56" s="119"/>
      <c r="AE56" s="119"/>
      <c r="AF56" s="119"/>
      <c r="AG56" s="119"/>
      <c r="AH56" s="113"/>
      <c r="AI56" s="113"/>
      <c r="AJ56" s="113"/>
      <c r="AK56" s="113"/>
      <c r="AL56" s="113"/>
      <c r="AM56" s="113"/>
    </row>
    <row r="57" spans="1:45" s="120" customFormat="1" ht="24.75" customHeight="1" outlineLevel="1" x14ac:dyDescent="0.3">
      <c r="A57" s="256"/>
      <c r="B57" s="256"/>
      <c r="C57" s="256"/>
      <c r="D57" s="256"/>
      <c r="E57" s="158"/>
      <c r="F57" s="158"/>
      <c r="G57" s="257"/>
      <c r="H57" s="257"/>
      <c r="I57" s="257"/>
      <c r="J57" s="257"/>
      <c r="K57" s="257"/>
      <c r="L57" s="257"/>
      <c r="M57" s="257"/>
      <c r="N57" s="475"/>
      <c r="O57" s="254"/>
      <c r="P57" s="254"/>
      <c r="Q57" s="254"/>
      <c r="R57" s="254"/>
      <c r="S57" s="254"/>
      <c r="T57" s="255"/>
      <c r="U57" s="149"/>
      <c r="V57" s="119"/>
      <c r="W57" s="119"/>
      <c r="X57" s="119"/>
      <c r="Y57" s="119"/>
      <c r="Z57" s="119"/>
      <c r="AA57" s="119"/>
      <c r="AB57" s="119"/>
      <c r="AC57" s="119"/>
      <c r="AD57" s="119"/>
      <c r="AE57" s="119"/>
      <c r="AF57" s="119"/>
      <c r="AG57" s="119"/>
      <c r="AH57" s="113"/>
      <c r="AI57" s="113"/>
      <c r="AJ57" s="113"/>
      <c r="AK57" s="113"/>
      <c r="AL57" s="113"/>
      <c r="AM57" s="113"/>
    </row>
    <row r="58" spans="1:45" ht="24.75" customHeight="1" x14ac:dyDescent="0.35">
      <c r="A58" s="227" t="s">
        <v>1817</v>
      </c>
      <c r="B58" s="228"/>
      <c r="C58" s="228"/>
      <c r="D58" s="228"/>
      <c r="E58" s="228"/>
      <c r="F58" s="228"/>
      <c r="G58" s="228"/>
      <c r="H58" s="228"/>
      <c r="I58" s="228"/>
      <c r="J58" s="228"/>
      <c r="K58" s="228"/>
      <c r="L58" s="228"/>
      <c r="M58" s="228"/>
      <c r="N58" s="228"/>
      <c r="O58" s="228"/>
      <c r="P58" s="228"/>
      <c r="Q58" s="228"/>
      <c r="R58" s="228"/>
      <c r="S58" s="228"/>
      <c r="T58" s="228"/>
      <c r="U58" s="133"/>
      <c r="V58" s="133"/>
      <c r="W58" s="133"/>
      <c r="X58" s="133"/>
      <c r="Y58" s="133"/>
      <c r="Z58" s="133"/>
      <c r="AA58" s="133"/>
      <c r="AB58" s="133"/>
      <c r="AC58" s="133"/>
      <c r="AD58" s="133"/>
      <c r="AE58" s="133"/>
      <c r="AF58" s="133"/>
      <c r="AG58" s="133"/>
      <c r="AH58" s="117"/>
    </row>
    <row r="59" spans="1:45" s="111" customFormat="1" ht="21.75" customHeight="1" x14ac:dyDescent="0.25">
      <c r="A59" s="238" t="s">
        <v>1909</v>
      </c>
      <c r="B59" s="217"/>
      <c r="C59" s="217"/>
      <c r="D59" s="217"/>
      <c r="E59" s="239"/>
      <c r="F59" s="238" t="s">
        <v>1910</v>
      </c>
      <c r="G59" s="217"/>
      <c r="H59" s="217"/>
      <c r="I59" s="217"/>
      <c r="J59" s="217"/>
      <c r="K59" s="239"/>
      <c r="L59" s="240" t="s">
        <v>1911</v>
      </c>
      <c r="M59" s="217"/>
      <c r="N59" s="217"/>
      <c r="O59" s="239"/>
      <c r="P59" s="240" t="s">
        <v>2004</v>
      </c>
      <c r="Q59" s="603"/>
      <c r="R59" s="216" t="s">
        <v>2020</v>
      </c>
      <c r="S59" s="217"/>
      <c r="T59" s="136" t="s">
        <v>0</v>
      </c>
      <c r="U59" s="119"/>
      <c r="V59" s="119"/>
      <c r="W59" s="119"/>
      <c r="X59" s="119"/>
      <c r="Y59" s="119"/>
      <c r="Z59" s="119"/>
      <c r="AA59" s="119"/>
      <c r="AB59" s="119"/>
      <c r="AC59" s="119"/>
      <c r="AD59" s="119"/>
      <c r="AE59" s="119"/>
      <c r="AF59" s="119"/>
      <c r="AG59" s="119"/>
      <c r="AH59" s="113"/>
      <c r="AI59" s="113"/>
      <c r="AJ59" s="113"/>
      <c r="AK59" s="113"/>
      <c r="AL59" s="113"/>
      <c r="AM59" s="113"/>
      <c r="AN59" s="113"/>
      <c r="AO59" s="113"/>
      <c r="AP59" s="27"/>
      <c r="AQ59" s="27"/>
      <c r="AR59" s="27"/>
      <c r="AS59" s="27"/>
    </row>
    <row r="60" spans="1:45" s="111" customFormat="1" ht="24.75" customHeight="1" x14ac:dyDescent="0.25">
      <c r="A60" s="171"/>
      <c r="B60" s="612"/>
      <c r="C60" s="613"/>
      <c r="D60" s="581"/>
      <c r="E60" s="613"/>
      <c r="F60" s="614"/>
      <c r="G60" s="613"/>
      <c r="H60" s="612"/>
      <c r="I60" s="613"/>
      <c r="J60" s="604"/>
      <c r="K60" s="604"/>
      <c r="L60" s="605"/>
      <c r="M60" s="606"/>
      <c r="N60" s="606"/>
      <c r="O60" s="606"/>
      <c r="P60" s="605"/>
      <c r="Q60" s="608"/>
      <c r="R60" s="605"/>
      <c r="S60" s="615"/>
      <c r="T60" s="606"/>
      <c r="U60" s="119"/>
      <c r="V60" s="119"/>
      <c r="W60" s="119"/>
      <c r="X60" s="119"/>
      <c r="Y60" s="119"/>
      <c r="Z60" s="119"/>
      <c r="AA60" s="119"/>
      <c r="AB60" s="119"/>
      <c r="AC60" s="119"/>
      <c r="AD60" s="119"/>
      <c r="AE60" s="119"/>
      <c r="AF60" s="119"/>
      <c r="AG60" s="119"/>
      <c r="AH60" s="113"/>
      <c r="AI60" s="113"/>
      <c r="AJ60" s="113"/>
      <c r="AK60" s="113"/>
      <c r="AL60" s="113" t="str">
        <f>+IF(L60="Daños_a_Terceros", "a", "b")</f>
        <v>b</v>
      </c>
      <c r="AM60" s="113"/>
      <c r="AN60" s="113"/>
      <c r="AO60" s="113"/>
      <c r="AP60" s="27"/>
      <c r="AQ60" s="27"/>
      <c r="AR60" s="27"/>
      <c r="AS60" s="27"/>
    </row>
    <row r="61" spans="1:45" s="120" customFormat="1" ht="21.75" customHeight="1" x14ac:dyDescent="0.25">
      <c r="A61" s="240" t="s">
        <v>1407</v>
      </c>
      <c r="B61" s="217"/>
      <c r="C61" s="217"/>
      <c r="D61" s="217"/>
      <c r="E61" s="217"/>
      <c r="F61" s="217"/>
      <c r="G61" s="217"/>
      <c r="H61" s="217"/>
      <c r="I61" s="217"/>
      <c r="J61" s="217"/>
      <c r="K61" s="239"/>
      <c r="L61" s="216" t="str">
        <f>+IF(OR(P60=ISBLANK(" "),P60="No_"), "Color", " ")</f>
        <v>Color</v>
      </c>
      <c r="M61" s="600"/>
      <c r="N61" s="136" t="str">
        <f>+IF(OR(P60=ISBLANK(" "),P60="No_"),"*", " ")</f>
        <v>*</v>
      </c>
      <c r="O61" s="216" t="str">
        <f>+IF(OR(P60=ISBLANK(" "),P60="No_"), "Número de Placa", " ")</f>
        <v>Número de Placa</v>
      </c>
      <c r="P61" s="229"/>
      <c r="Q61" s="229"/>
      <c r="R61" s="229"/>
      <c r="S61" s="230"/>
      <c r="T61" s="136" t="str">
        <f>+IF(OR(P60=ISBLANK(" "),P60="No_"), "*", " ")</f>
        <v>*</v>
      </c>
      <c r="U61" s="190"/>
      <c r="V61" s="119"/>
      <c r="W61" s="119"/>
      <c r="X61" s="119"/>
      <c r="Y61" s="119"/>
      <c r="Z61" s="119"/>
      <c r="AA61" s="119"/>
      <c r="AB61" s="119"/>
      <c r="AC61" s="119"/>
      <c r="AD61" s="119"/>
      <c r="AE61" s="119"/>
      <c r="AF61" s="189"/>
      <c r="AG61" s="189"/>
      <c r="AH61" s="113"/>
      <c r="AI61" s="113"/>
      <c r="AJ61" s="113"/>
      <c r="AK61" s="113"/>
      <c r="AL61" s="113"/>
      <c r="AM61" s="113"/>
      <c r="AN61" s="113"/>
      <c r="AO61" s="113"/>
      <c r="AP61" s="27"/>
      <c r="AQ61" s="27"/>
      <c r="AR61" s="27"/>
      <c r="AS61" s="27"/>
    </row>
    <row r="62" spans="1:45" s="120" customFormat="1" ht="46.5" customHeight="1" x14ac:dyDescent="0.25">
      <c r="A62" s="607"/>
      <c r="B62" s="219"/>
      <c r="C62" s="219"/>
      <c r="D62" s="219"/>
      <c r="E62" s="219"/>
      <c r="F62" s="219"/>
      <c r="G62" s="219"/>
      <c r="H62" s="219"/>
      <c r="I62" s="219"/>
      <c r="J62" s="219"/>
      <c r="K62" s="219"/>
      <c r="L62" s="609"/>
      <c r="M62" s="610"/>
      <c r="N62" s="611"/>
      <c r="O62" s="231"/>
      <c r="P62" s="232"/>
      <c r="Q62" s="232"/>
      <c r="R62" s="232"/>
      <c r="S62" s="233"/>
      <c r="T62" s="234"/>
      <c r="U62" s="190"/>
      <c r="V62" s="119"/>
      <c r="W62" s="119"/>
      <c r="X62" s="119"/>
      <c r="Y62" s="119"/>
      <c r="Z62" s="119"/>
      <c r="AA62" s="119"/>
      <c r="AB62" s="119"/>
      <c r="AC62" s="119"/>
      <c r="AD62" s="119"/>
      <c r="AE62" s="119"/>
      <c r="AF62" s="189"/>
      <c r="AG62" s="189"/>
      <c r="AH62" s="113"/>
      <c r="AI62" s="113"/>
      <c r="AJ62" s="113"/>
      <c r="AK62" s="113"/>
      <c r="AL62" s="113"/>
      <c r="AM62" s="113"/>
      <c r="AN62" s="113"/>
      <c r="AO62" s="113"/>
      <c r="AP62" s="27"/>
      <c r="AQ62" s="27"/>
      <c r="AR62" s="27"/>
      <c r="AS62" s="27"/>
    </row>
    <row r="63" spans="1:45" s="120" customFormat="1" ht="21.75" customHeight="1" x14ac:dyDescent="0.3">
      <c r="A63" s="235" t="str">
        <f>+IF(OR(P60=ISBLANK(" "),P60="No_"),"Marca", " ")</f>
        <v>Marca</v>
      </c>
      <c r="B63" s="236"/>
      <c r="C63" s="237"/>
      <c r="D63" s="172" t="str">
        <f>+IF(A63="Marca", "*", " ")</f>
        <v>*</v>
      </c>
      <c r="E63" s="216" t="str">
        <f>+IF(OR(P60=ISBLANK(" "),P60="No_"), "Número de Motor", " ")</f>
        <v>Número de Motor</v>
      </c>
      <c r="F63" s="217"/>
      <c r="G63" s="217"/>
      <c r="H63" s="172" t="str">
        <f>+IF(E63="Número de Motor", "*", " ")</f>
        <v>*</v>
      </c>
      <c r="I63" s="235" t="str">
        <f>+IF(OR(P60=ISBLANK(" "),P60="No_"), "Número de Chasis", " ")</f>
        <v>Número de Chasis</v>
      </c>
      <c r="J63" s="236"/>
      <c r="K63" s="236"/>
      <c r="L63" s="237"/>
      <c r="M63" s="172" t="str">
        <f>+IF(I63="Número de Chasis", "*", " ")</f>
        <v>*</v>
      </c>
      <c r="N63" s="216" t="str">
        <f>+IF(OR(P60=ISBLANK(" "),P60="No_"), "Modelo", " ")</f>
        <v>Modelo</v>
      </c>
      <c r="O63" s="217"/>
      <c r="P63" s="217"/>
      <c r="Q63" s="217"/>
      <c r="R63" s="217"/>
      <c r="S63" s="217"/>
      <c r="T63" s="122" t="str">
        <f>+IF(N63="Modelo", "*", " ")</f>
        <v>*</v>
      </c>
      <c r="U63" s="200"/>
      <c r="V63" s="200"/>
      <c r="W63" s="119"/>
      <c r="X63" s="190"/>
      <c r="Y63" s="190"/>
      <c r="Z63" s="190"/>
      <c r="AA63" s="196"/>
      <c r="AB63" s="201"/>
      <c r="AC63" s="196"/>
      <c r="AD63" s="202"/>
      <c r="AE63" s="188"/>
      <c r="AF63" s="189"/>
      <c r="AG63" s="189"/>
      <c r="AH63" s="113"/>
      <c r="AI63" s="113"/>
      <c r="AJ63" s="113"/>
      <c r="AK63" s="113"/>
      <c r="AL63" s="113"/>
      <c r="AM63" s="113"/>
      <c r="AN63" s="113"/>
      <c r="AO63" s="113"/>
      <c r="AP63" s="27"/>
      <c r="AQ63" s="27"/>
      <c r="AR63" s="27"/>
      <c r="AS63" s="27"/>
    </row>
    <row r="64" spans="1:45" s="120" customFormat="1" ht="24.75" customHeight="1" x14ac:dyDescent="0.3">
      <c r="A64" s="379"/>
      <c r="B64" s="380"/>
      <c r="C64" s="380"/>
      <c r="D64" s="381"/>
      <c r="E64" s="384"/>
      <c r="F64" s="369"/>
      <c r="G64" s="369"/>
      <c r="H64" s="369"/>
      <c r="I64" s="353"/>
      <c r="J64" s="382"/>
      <c r="K64" s="382"/>
      <c r="L64" s="382"/>
      <c r="M64" s="383"/>
      <c r="N64" s="218"/>
      <c r="O64" s="219"/>
      <c r="P64" s="219"/>
      <c r="Q64" s="219"/>
      <c r="R64" s="219"/>
      <c r="S64" s="219"/>
      <c r="T64" s="219"/>
      <c r="U64" s="203"/>
      <c r="V64" s="365"/>
      <c r="W64" s="365"/>
      <c r="X64" s="365"/>
      <c r="Y64" s="365"/>
      <c r="Z64" s="366"/>
      <c r="AA64" s="144"/>
      <c r="AB64" s="201"/>
      <c r="AC64" s="196"/>
      <c r="AD64" s="202"/>
      <c r="AE64" s="188"/>
      <c r="AF64" s="189"/>
      <c r="AG64" s="189"/>
      <c r="AH64" s="113"/>
      <c r="AI64" s="113"/>
      <c r="AJ64" s="113"/>
      <c r="AK64" s="113"/>
      <c r="AL64" s="113"/>
      <c r="AM64" s="113"/>
      <c r="AN64" s="113"/>
      <c r="AO64" s="113"/>
      <c r="AP64" s="27"/>
      <c r="AQ64" s="27"/>
      <c r="AR64" s="27"/>
      <c r="AS64" s="27"/>
    </row>
    <row r="65" spans="1:49" s="120" customFormat="1" ht="21.75" customHeight="1" x14ac:dyDescent="0.3">
      <c r="A65" s="216" t="str">
        <f>+IF(OR(P60=ISBLANK(" "),P60="No_"), "Año", " ")</f>
        <v>Año</v>
      </c>
      <c r="B65" s="217"/>
      <c r="C65" s="122" t="str">
        <f>+IF(A65="Año", "*", " ")</f>
        <v>*</v>
      </c>
      <c r="D65" s="216" t="str">
        <f>+IF(OR(P60=ISBLANK(" "),P60="No_"), "Actividad", " ")</f>
        <v>Actividad</v>
      </c>
      <c r="E65" s="343"/>
      <c r="F65" s="378" t="str">
        <f>+IF(OR(P60=ISBLANK(" "),P60="No_"), "Seleccionar Uso primero", " ")</f>
        <v>Seleccionar Uso primero</v>
      </c>
      <c r="G65" s="376"/>
      <c r="H65" s="376"/>
      <c r="I65" s="376"/>
      <c r="J65" s="376"/>
      <c r="K65" s="376"/>
      <c r="L65" s="376"/>
      <c r="M65" s="166" t="str">
        <f>+IF(OR(P60=ISBLANK(" "),P60="No_"), "*", " ")</f>
        <v>*</v>
      </c>
      <c r="N65" s="216" t="str">
        <f>+IF(OR(P60=ISBLANK(" "),P60="Si_"), "Cantidad de autos", " ")</f>
        <v>Cantidad de autos</v>
      </c>
      <c r="O65" s="343"/>
      <c r="P65" s="343"/>
      <c r="Q65" s="372" t="str">
        <f>+IF(OR(P60=ISBLANK(" "),P60="Si_"), "Solo para flota", " ")</f>
        <v>Solo para flota</v>
      </c>
      <c r="R65" s="373"/>
      <c r="S65" s="373"/>
      <c r="T65" s="166" t="str">
        <f>+IF(OR(P60=ISBLANK(" "),P60="Si_"), "*", " ")</f>
        <v>*</v>
      </c>
      <c r="U65" s="203"/>
      <c r="V65" s="367"/>
      <c r="W65" s="367"/>
      <c r="X65" s="367"/>
      <c r="Y65" s="367"/>
      <c r="Z65" s="367"/>
      <c r="AA65" s="366"/>
      <c r="AB65" s="201"/>
      <c r="AC65" s="196"/>
      <c r="AD65" s="202"/>
      <c r="AE65" s="188"/>
      <c r="AF65" s="189"/>
      <c r="AG65" s="189"/>
      <c r="AH65" s="113"/>
      <c r="AI65" s="113"/>
      <c r="AJ65" s="113"/>
      <c r="AK65" s="113"/>
      <c r="AL65" s="113"/>
      <c r="AM65" s="113"/>
      <c r="AN65" s="113"/>
      <c r="AO65" s="113"/>
      <c r="AP65" s="27"/>
      <c r="AQ65" s="27"/>
      <c r="AR65" s="27"/>
      <c r="AS65" s="27"/>
    </row>
    <row r="66" spans="1:49" s="120" customFormat="1" ht="24.75" customHeight="1" x14ac:dyDescent="0.3">
      <c r="A66" s="368"/>
      <c r="B66" s="369"/>
      <c r="C66" s="369"/>
      <c r="D66" s="371"/>
      <c r="E66" s="219"/>
      <c r="F66" s="219"/>
      <c r="G66" s="219"/>
      <c r="H66" s="219"/>
      <c r="I66" s="219"/>
      <c r="J66" s="219"/>
      <c r="K66" s="219"/>
      <c r="L66" s="219"/>
      <c r="M66" s="219"/>
      <c r="N66" s="370"/>
      <c r="O66" s="371"/>
      <c r="P66" s="371"/>
      <c r="Q66" s="371"/>
      <c r="R66" s="371"/>
      <c r="S66" s="219"/>
      <c r="T66" s="219"/>
      <c r="U66" s="203"/>
      <c r="V66" s="203"/>
      <c r="W66" s="203"/>
      <c r="X66" s="190"/>
      <c r="Y66" s="184" t="str">
        <f>+IF(OR(F68="RC Elemental",F68="RC Esencial", F68="RC Estándar", F68="RC Convencional"), "yes", "not")</f>
        <v>not</v>
      </c>
      <c r="Z66" s="190"/>
      <c r="AA66" s="196"/>
      <c r="AB66" s="201"/>
      <c r="AC66" s="196"/>
      <c r="AD66" s="202"/>
      <c r="AE66" s="188"/>
      <c r="AF66" s="189"/>
      <c r="AG66" s="189"/>
      <c r="AH66" s="113"/>
      <c r="AI66" s="113"/>
      <c r="AJ66" s="113"/>
      <c r="AK66" s="113"/>
      <c r="AL66" s="113"/>
      <c r="AM66" s="113"/>
      <c r="AN66" s="113"/>
      <c r="AO66" s="113"/>
      <c r="AP66" s="27"/>
      <c r="AQ66" s="27"/>
      <c r="AR66" s="27"/>
      <c r="AS66" s="27"/>
    </row>
    <row r="67" spans="1:49" s="111" customFormat="1" ht="21.75" customHeight="1" x14ac:dyDescent="0.35">
      <c r="A67" s="216" t="str">
        <f>+IF(OR(P60=ISBLANK(" "),P60="No_"), "Cantidad de ocupantes", " ")</f>
        <v>Cantidad de ocupantes</v>
      </c>
      <c r="B67" s="217"/>
      <c r="C67" s="217"/>
      <c r="D67" s="217"/>
      <c r="E67" s="136" t="str">
        <f>+IF(OR(P60=ISBLANK(" "),P60="No_"),  "*", " ")</f>
        <v>*</v>
      </c>
      <c r="F67" s="240" t="str">
        <f>+IF(OR(L60="Cobertura_Completa", L61= " "), " ", "Suma Asegurada")</f>
        <v>Suma Asegurada</v>
      </c>
      <c r="G67" s="343"/>
      <c r="H67" s="343"/>
      <c r="I67" s="375" t="str">
        <f>+IF(OR(L60="Cobertura_Completa", L61= " "), " ", "Solo daños a terceros")</f>
        <v>Solo daños a terceros</v>
      </c>
      <c r="J67" s="376"/>
      <c r="K67" s="376"/>
      <c r="L67" s="165" t="str">
        <f>+IF(I67=" ", " ", "*")</f>
        <v>*</v>
      </c>
      <c r="M67" s="240" t="str">
        <f>+IF(OR(AND(L60="Daños_a_Terceros",Y66="yes"), P60="Si_")," ", "Limite de lesiones corporales")</f>
        <v>Limite de lesiones corporales</v>
      </c>
      <c r="N67" s="343"/>
      <c r="O67" s="343"/>
      <c r="P67" s="343"/>
      <c r="Q67" s="343"/>
      <c r="R67" s="343"/>
      <c r="S67" s="343"/>
      <c r="T67" s="173" t="str">
        <f>+IF(M67=" ", " ", "*")</f>
        <v>*</v>
      </c>
      <c r="U67" s="200"/>
      <c r="V67" s="204"/>
      <c r="W67" s="204"/>
      <c r="X67" s="205"/>
      <c r="Y67" s="200"/>
      <c r="Z67" s="206"/>
      <c r="AA67" s="200"/>
      <c r="AB67" s="200"/>
      <c r="AC67" s="200"/>
      <c r="AD67" s="200"/>
      <c r="AE67" s="204"/>
      <c r="AF67" s="596"/>
      <c r="AG67" s="597"/>
      <c r="AH67" s="113"/>
      <c r="AI67" s="113"/>
      <c r="AJ67" s="113"/>
      <c r="AK67" s="113"/>
      <c r="AL67" s="113"/>
      <c r="AM67" s="113"/>
      <c r="AN67" s="113"/>
      <c r="AO67" s="113"/>
      <c r="AP67" s="27"/>
      <c r="AQ67" s="27"/>
      <c r="AR67" s="27"/>
      <c r="AS67" s="27"/>
    </row>
    <row r="68" spans="1:49" s="111" customFormat="1" ht="24.75" customHeight="1" x14ac:dyDescent="0.3">
      <c r="A68" s="368"/>
      <c r="B68" s="369"/>
      <c r="C68" s="369"/>
      <c r="D68" s="369"/>
      <c r="E68" s="369"/>
      <c r="F68" s="377"/>
      <c r="G68" s="219"/>
      <c r="H68" s="219"/>
      <c r="I68" s="219"/>
      <c r="J68" s="219"/>
      <c r="K68" s="219"/>
      <c r="L68" s="220"/>
      <c r="M68" s="218"/>
      <c r="N68" s="219"/>
      <c r="O68" s="219"/>
      <c r="P68" s="219"/>
      <c r="Q68" s="219"/>
      <c r="R68" s="219"/>
      <c r="S68" s="219"/>
      <c r="T68" s="374"/>
      <c r="U68" s="207"/>
      <c r="V68" s="207"/>
      <c r="W68" s="207"/>
      <c r="X68" s="207"/>
      <c r="Y68" s="208">
        <f>+A68</f>
        <v>0</v>
      </c>
      <c r="Z68" s="209"/>
      <c r="AA68" s="202"/>
      <c r="AB68" s="202"/>
      <c r="AC68" s="202"/>
      <c r="AD68" s="202"/>
      <c r="AE68" s="202"/>
      <c r="AF68" s="596"/>
      <c r="AG68" s="597"/>
      <c r="AH68" s="113"/>
      <c r="AI68" s="113"/>
      <c r="AJ68" s="113"/>
      <c r="AK68" s="113"/>
      <c r="AL68" s="113"/>
      <c r="AM68" s="113"/>
      <c r="AN68" s="113"/>
      <c r="AO68" s="113"/>
      <c r="AP68" s="27"/>
      <c r="AQ68" s="27"/>
      <c r="AR68" s="27"/>
      <c r="AS68" s="27"/>
    </row>
    <row r="69" spans="1:49" s="111" customFormat="1" ht="21.75" customHeight="1" x14ac:dyDescent="0.25">
      <c r="A69" s="240" t="str">
        <f>+IF(OR(AND(L60="Daños_a_Terceros", Y66="yes"), P60="Si_")," ", "Limite de daños a la propiedad ajena")</f>
        <v>Limite de daños a la propiedad ajena</v>
      </c>
      <c r="B69" s="217"/>
      <c r="C69" s="217"/>
      <c r="D69" s="217"/>
      <c r="E69" s="217"/>
      <c r="F69" s="217"/>
      <c r="G69" s="173" t="str">
        <f>+IF(A69=" ", " ", "*")</f>
        <v>*</v>
      </c>
      <c r="H69" s="216" t="str">
        <f>+IF(AND(A69="Limite de daños a la propiedad ajena",OR( R60="Particular",R60=ISBLANK(" "))), "Limite de gastos médicos", " ")</f>
        <v>Limite de gastos médicos</v>
      </c>
      <c r="I69" s="217"/>
      <c r="J69" s="217"/>
      <c r="K69" s="217"/>
      <c r="L69" s="217"/>
      <c r="M69" s="217"/>
      <c r="N69" s="217"/>
      <c r="O69" s="136" t="str">
        <f>+IF(H69=" ", " ", "*")</f>
        <v>*</v>
      </c>
      <c r="P69" s="240" t="str">
        <f>+IF(OR(L60="Daños_a_Terceros", P60="Si_"), " ", "Suma Asegurada")</f>
        <v>Suma Asegurada</v>
      </c>
      <c r="Q69" s="241"/>
      <c r="R69" s="241"/>
      <c r="S69" s="241"/>
      <c r="T69" s="173" t="str">
        <f>+IF(P69=" ", " ", "*")</f>
        <v>*</v>
      </c>
      <c r="U69" s="210"/>
      <c r="V69" s="119"/>
      <c r="W69" s="119"/>
      <c r="X69" s="119"/>
      <c r="Y69" s="199" t="str">
        <f>+IF(L60="Daños_a_Terceros", "x", "y")</f>
        <v>y</v>
      </c>
      <c r="Z69" s="119"/>
      <c r="AA69" s="119"/>
      <c r="AB69" s="119"/>
      <c r="AC69" s="119"/>
      <c r="AD69" s="119"/>
      <c r="AE69" s="119"/>
      <c r="AF69" s="119"/>
      <c r="AG69" s="119"/>
      <c r="AH69" s="113"/>
      <c r="AI69" s="113"/>
      <c r="AJ69" s="113"/>
      <c r="AK69" s="113"/>
      <c r="AL69" s="113"/>
      <c r="AM69" s="113"/>
      <c r="AN69" s="113"/>
      <c r="AO69" s="113"/>
      <c r="AP69" s="27"/>
      <c r="AQ69" s="27"/>
      <c r="AR69" s="27"/>
      <c r="AS69" s="27"/>
    </row>
    <row r="70" spans="1:49" s="111" customFormat="1" ht="24.75" customHeight="1" x14ac:dyDescent="0.25">
      <c r="A70" s="379"/>
      <c r="B70" s="219"/>
      <c r="C70" s="219"/>
      <c r="D70" s="219"/>
      <c r="E70" s="219"/>
      <c r="F70" s="219"/>
      <c r="G70" s="219"/>
      <c r="H70" s="218"/>
      <c r="I70" s="219"/>
      <c r="J70" s="219"/>
      <c r="K70" s="219"/>
      <c r="L70" s="219"/>
      <c r="M70" s="219"/>
      <c r="N70" s="219"/>
      <c r="O70" s="220"/>
      <c r="P70" s="174" t="str">
        <f>+IF(P69="Suma Asegurada", "B/.", " ")</f>
        <v>B/.</v>
      </c>
      <c r="Q70" s="242"/>
      <c r="R70" s="219"/>
      <c r="S70" s="219"/>
      <c r="T70" s="219"/>
      <c r="U70" s="119"/>
      <c r="V70" s="119"/>
      <c r="W70" s="119"/>
      <c r="X70" s="119"/>
      <c r="Y70" s="119"/>
      <c r="Z70" s="119"/>
      <c r="AA70" s="119"/>
      <c r="AB70" s="119"/>
      <c r="AC70" s="119"/>
      <c r="AD70" s="119"/>
      <c r="AE70" s="119"/>
      <c r="AF70" s="119"/>
      <c r="AG70" s="119"/>
      <c r="AH70" s="113"/>
      <c r="AI70" s="113"/>
      <c r="AJ70" s="113"/>
      <c r="AK70" s="113"/>
      <c r="AL70" s="113"/>
      <c r="AM70" s="113"/>
      <c r="AN70" s="113"/>
      <c r="AO70" s="113"/>
      <c r="AP70" s="27"/>
      <c r="AQ70" s="27"/>
      <c r="AR70" s="27"/>
      <c r="AS70" s="27"/>
    </row>
    <row r="71" spans="1:49" s="120" customFormat="1" ht="24.75" customHeight="1" x14ac:dyDescent="0.25">
      <c r="A71" s="216" t="s">
        <v>1870</v>
      </c>
      <c r="B71" s="217"/>
      <c r="C71" s="217"/>
      <c r="D71" s="136" t="s">
        <v>0</v>
      </c>
      <c r="E71" s="598"/>
      <c r="F71" s="599"/>
      <c r="G71" s="599"/>
      <c r="H71" s="599"/>
      <c r="I71" s="216" t="str">
        <f>+IF(B59="Si_", " ","Endosos")</f>
        <v>Endosos</v>
      </c>
      <c r="J71" s="600"/>
      <c r="K71" s="600"/>
      <c r="L71" s="600"/>
      <c r="M71" s="165" t="str">
        <f>+IF(B59="Si_", " ","*")</f>
        <v>*</v>
      </c>
      <c r="N71" s="601"/>
      <c r="O71" s="602"/>
      <c r="P71" s="602"/>
      <c r="Q71" s="602"/>
      <c r="R71" s="602"/>
      <c r="S71" s="602"/>
      <c r="T71" s="599"/>
      <c r="U71" s="119"/>
      <c r="V71" s="119"/>
      <c r="W71" s="119"/>
      <c r="X71" s="119"/>
      <c r="Y71" s="199" t="str">
        <f>+IF(AND(E71="&lt; B/.  300", L60="Daños_a_Terceros"), "unpago", "maspagos")</f>
        <v>maspagos</v>
      </c>
      <c r="Z71" s="119"/>
      <c r="AA71" s="119"/>
      <c r="AB71" s="119"/>
      <c r="AC71" s="119"/>
      <c r="AD71" s="119"/>
      <c r="AE71" s="119"/>
      <c r="AF71" s="119"/>
      <c r="AG71" s="119"/>
      <c r="AH71" s="113"/>
      <c r="AI71" s="113"/>
      <c r="AJ71" s="113"/>
      <c r="AK71" s="113"/>
      <c r="AL71" s="113"/>
      <c r="AM71" s="113"/>
      <c r="AN71" s="113"/>
      <c r="AO71" s="113"/>
      <c r="AP71" s="27"/>
      <c r="AQ71" s="27"/>
      <c r="AR71" s="27"/>
      <c r="AS71" s="27"/>
    </row>
    <row r="72" spans="1:49" s="154" customFormat="1" ht="24.75" customHeight="1" x14ac:dyDescent="0.25">
      <c r="A72" s="415" t="s">
        <v>2014</v>
      </c>
      <c r="B72" s="343"/>
      <c r="C72" s="343"/>
      <c r="D72" s="343"/>
      <c r="E72" s="343"/>
      <c r="F72" s="343"/>
      <c r="G72" s="343"/>
      <c r="H72" s="343"/>
      <c r="I72" s="343"/>
      <c r="J72" s="343"/>
      <c r="K72" s="343"/>
      <c r="L72" s="343"/>
      <c r="M72" s="343"/>
      <c r="N72" s="343"/>
      <c r="O72" s="343"/>
      <c r="P72" s="343"/>
      <c r="Q72" s="343"/>
      <c r="R72" s="343"/>
      <c r="S72" s="343"/>
      <c r="T72" s="416"/>
      <c r="U72" s="119"/>
      <c r="V72" s="119"/>
      <c r="W72" s="119"/>
      <c r="X72" s="119"/>
      <c r="Y72" s="119"/>
      <c r="Z72" s="119"/>
      <c r="AA72" s="119"/>
      <c r="AB72" s="119"/>
      <c r="AC72" s="119"/>
      <c r="AD72" s="119"/>
      <c r="AE72" s="119"/>
      <c r="AF72" s="119"/>
      <c r="AG72" s="119"/>
      <c r="AH72" s="113"/>
      <c r="AI72" s="113"/>
      <c r="AJ72" s="113"/>
      <c r="AK72" s="113"/>
      <c r="AL72" s="113"/>
      <c r="AM72" s="113"/>
      <c r="AN72" s="113"/>
      <c r="AO72" s="113"/>
      <c r="AP72" s="27"/>
      <c r="AQ72" s="27"/>
      <c r="AR72" s="27"/>
      <c r="AS72" s="27"/>
    </row>
    <row r="73" spans="1:49" s="154" customFormat="1" ht="24.75" customHeight="1" x14ac:dyDescent="0.25">
      <c r="A73" s="413" t="s">
        <v>2012</v>
      </c>
      <c r="B73" s="414"/>
      <c r="C73" s="414"/>
      <c r="D73" s="414"/>
      <c r="E73" s="371"/>
      <c r="F73" s="219"/>
      <c r="G73" s="219"/>
      <c r="H73" s="219"/>
      <c r="I73" s="234"/>
      <c r="J73" s="234"/>
      <c r="K73" s="413" t="s">
        <v>2013</v>
      </c>
      <c r="L73" s="414"/>
      <c r="M73" s="414"/>
      <c r="N73" s="414"/>
      <c r="O73" s="371"/>
      <c r="P73" s="219"/>
      <c r="Q73" s="219"/>
      <c r="R73" s="219"/>
      <c r="S73" s="234"/>
      <c r="T73" s="234"/>
      <c r="U73" s="119"/>
      <c r="V73" s="119"/>
      <c r="W73" s="119"/>
      <c r="X73" s="119"/>
      <c r="Y73" s="119"/>
      <c r="Z73" s="119"/>
      <c r="AA73" s="119"/>
      <c r="AB73" s="119"/>
      <c r="AC73" s="119"/>
      <c r="AD73" s="119"/>
      <c r="AE73" s="119"/>
      <c r="AF73" s="119"/>
      <c r="AG73" s="119"/>
      <c r="AH73" s="113"/>
      <c r="AI73" s="113"/>
      <c r="AJ73" s="113"/>
      <c r="AK73" s="113"/>
      <c r="AL73" s="113"/>
      <c r="AM73" s="113"/>
      <c r="AN73" s="113"/>
      <c r="AO73" s="113"/>
      <c r="AP73" s="27"/>
      <c r="AQ73" s="27"/>
      <c r="AR73" s="27"/>
      <c r="AS73" s="27"/>
    </row>
    <row r="74" spans="1:49" ht="45.75" customHeight="1" outlineLevel="1" x14ac:dyDescent="0.35">
      <c r="A74" s="445" t="str">
        <f>+IF(OR(P60=ISBLANK(" "), P60="No_"), _xlfn.CONCAT('titulos largos concatenar'!B3), " ")</f>
        <v>Sección IV: PORQUE PENSAMOS EN LA SEGURIDAD Y EL BIENESTAR DE LOS TUYOS, ¿DESEAS ADQUIRIR POLIZAS DE ACCIDENTES PERSONALES?</v>
      </c>
      <c r="B74" s="446"/>
      <c r="C74" s="446"/>
      <c r="D74" s="446"/>
      <c r="E74" s="446"/>
      <c r="F74" s="446"/>
      <c r="G74" s="446"/>
      <c r="H74" s="446"/>
      <c r="I74" s="446"/>
      <c r="J74" s="446"/>
      <c r="K74" s="446"/>
      <c r="L74" s="446"/>
      <c r="M74" s="446"/>
      <c r="N74" s="446"/>
      <c r="O74" s="446"/>
      <c r="P74" s="446"/>
      <c r="Q74" s="446"/>
      <c r="R74" s="446"/>
      <c r="S74" s="446"/>
      <c r="T74" s="447"/>
      <c r="U74" s="133"/>
      <c r="V74" s="133"/>
      <c r="W74" s="133"/>
      <c r="X74" s="133"/>
      <c r="Y74" s="133"/>
      <c r="Z74" s="133"/>
      <c r="AA74" s="133"/>
      <c r="AB74" s="133"/>
      <c r="AC74" s="133"/>
      <c r="AD74" s="133"/>
      <c r="AE74" s="133"/>
      <c r="AF74" s="133"/>
      <c r="AG74" s="133"/>
      <c r="AI74" s="117"/>
      <c r="AJ74" s="118"/>
      <c r="AK74" s="118"/>
      <c r="AL74" s="118"/>
      <c r="AM74" s="118"/>
      <c r="AN74" s="118"/>
      <c r="AO74" s="118"/>
      <c r="AP74" s="115"/>
      <c r="AQ74" s="115"/>
      <c r="AR74" s="115"/>
      <c r="AS74" s="115"/>
    </row>
    <row r="75" spans="1:49" ht="110.25" customHeight="1" outlineLevel="1" x14ac:dyDescent="0.3">
      <c r="A75" s="448" t="str">
        <f>+IF(OR(P60="No_", P60=ISBLANK(" ")), _xlfn.CONCAT('titulos largos concatenar'!B4), " ")</f>
        <v>Te ofrecemos cobertura las 24 horas del día, los 365 días del año, protección dentro y fuera de horas laborables. Edad de Entrada: 18 a 70 años. Edad de cancelación: 75 años. Cubre al conductor del vehículo y los pasajeros que sean impactados por un incidente, siempre y cuando estos estén debidamente sentados, subiendo o bajando del vehículo. Ofrece cobertura de muerte accidental, adelanto por desmembramiento por accidente, adelanto por incapacidad total y permanente por accidente, gastos médicos por accidente, y renta diaria por incapacidad temporal  por accidente.</v>
      </c>
      <c r="B75" s="449"/>
      <c r="C75" s="449"/>
      <c r="D75" s="449"/>
      <c r="E75" s="449"/>
      <c r="F75" s="449"/>
      <c r="G75" s="449"/>
      <c r="H75" s="449"/>
      <c r="I75" s="449"/>
      <c r="J75" s="449"/>
      <c r="K75" s="449"/>
      <c r="L75" s="449"/>
      <c r="M75" s="449"/>
      <c r="N75" s="449"/>
      <c r="O75" s="449"/>
      <c r="P75" s="449"/>
      <c r="Q75" s="449"/>
      <c r="R75" s="449"/>
      <c r="S75" s="449"/>
      <c r="T75" s="450"/>
      <c r="U75" s="204"/>
      <c r="V75" s="204"/>
      <c r="W75" s="204"/>
      <c r="X75" s="204"/>
      <c r="Y75" s="204"/>
      <c r="Z75" s="204"/>
      <c r="AA75" s="204"/>
      <c r="AB75" s="204"/>
      <c r="AC75" s="204"/>
      <c r="AD75" s="204"/>
      <c r="AE75" s="204"/>
      <c r="AF75" s="204"/>
      <c r="AG75" s="204"/>
      <c r="AI75" s="117"/>
      <c r="AJ75" s="117"/>
      <c r="AK75" s="117"/>
      <c r="AL75" s="117"/>
      <c r="AM75" s="117"/>
      <c r="AN75" s="117"/>
      <c r="AO75" s="117"/>
      <c r="AP75" s="103"/>
      <c r="AQ75" s="103"/>
      <c r="AR75" s="103"/>
      <c r="AS75" s="103"/>
    </row>
    <row r="76" spans="1:49" ht="7.5" customHeight="1" outlineLevel="1" x14ac:dyDescent="0.25">
      <c r="A76" s="23"/>
      <c r="B76" s="23"/>
      <c r="C76" s="23"/>
      <c r="D76" s="23"/>
      <c r="E76" s="23"/>
      <c r="F76" s="23"/>
      <c r="G76" s="23"/>
      <c r="H76" s="23"/>
      <c r="I76" s="23"/>
      <c r="J76" s="23"/>
      <c r="K76" s="23"/>
      <c r="L76" s="23"/>
      <c r="M76" s="410" t="str">
        <f>+IF(OR(P60=ISBLANK(" "), P60="No_"), "Esta sección no aplica para flota", " ")</f>
        <v>Esta sección no aplica para flota</v>
      </c>
      <c r="N76" s="410"/>
      <c r="O76" s="410"/>
      <c r="P76" s="410"/>
      <c r="Q76" s="410"/>
      <c r="R76" s="410"/>
      <c r="S76" s="410"/>
      <c r="T76" s="410"/>
      <c r="U76" s="210"/>
      <c r="V76" s="210"/>
      <c r="W76" s="210"/>
      <c r="X76" s="210"/>
      <c r="Y76" s="210"/>
      <c r="Z76" s="210"/>
      <c r="AA76" s="210"/>
      <c r="AB76" s="210"/>
      <c r="AC76" s="210"/>
      <c r="AD76" s="210"/>
      <c r="AE76" s="210"/>
      <c r="AF76" s="210"/>
      <c r="AG76" s="210"/>
      <c r="AI76" s="117"/>
      <c r="AJ76" s="117"/>
      <c r="AK76" s="117"/>
      <c r="AL76" s="117"/>
      <c r="AM76" s="117"/>
      <c r="AN76" s="117"/>
      <c r="AO76" s="117"/>
      <c r="AP76" s="103"/>
      <c r="AQ76" s="103"/>
      <c r="AR76" s="103"/>
      <c r="AS76" s="103"/>
    </row>
    <row r="77" spans="1:49" ht="21.75" customHeight="1" outlineLevel="1" x14ac:dyDescent="0.25">
      <c r="A77" s="23"/>
      <c r="B77" s="385" t="str">
        <f>+IF(OR(P60=ISBLANK(" "), P60="No_"), "Seleccionar plan de asiento", " ")</f>
        <v>Seleccionar plan de asiento</v>
      </c>
      <c r="C77" s="386"/>
      <c r="D77" s="386"/>
      <c r="E77" s="386"/>
      <c r="F77" s="386"/>
      <c r="G77" s="387" t="str">
        <f>+IF(OR(P60=ISBLANK(" "), P60="No_"), "Seleccionar actividad primero", " ")</f>
        <v>Seleccionar actividad primero</v>
      </c>
      <c r="H77" s="388"/>
      <c r="I77" s="388"/>
      <c r="J77" s="388"/>
      <c r="K77" s="388"/>
      <c r="L77" s="389"/>
      <c r="M77" s="411"/>
      <c r="N77" s="411"/>
      <c r="O77" s="411"/>
      <c r="P77" s="411"/>
      <c r="Q77" s="411"/>
      <c r="R77" s="411"/>
      <c r="S77" s="411"/>
      <c r="T77" s="411"/>
      <c r="U77" s="210"/>
      <c r="V77" s="210"/>
      <c r="W77" s="210"/>
      <c r="X77" s="210"/>
      <c r="Y77" s="210"/>
      <c r="Z77" s="210"/>
      <c r="AA77" s="210"/>
      <c r="AB77" s="210"/>
      <c r="AC77" s="210"/>
      <c r="AD77" s="210"/>
      <c r="AE77" s="210"/>
      <c r="AF77" s="210"/>
      <c r="AG77" s="210"/>
      <c r="AI77" s="117"/>
      <c r="AJ77" s="117"/>
      <c r="AK77" s="117"/>
      <c r="AL77" s="117"/>
      <c r="AM77" s="117"/>
      <c r="AN77" s="117"/>
      <c r="AO77" s="117"/>
      <c r="AP77" s="103"/>
      <c r="AQ77" s="103"/>
      <c r="AR77" s="103"/>
      <c r="AS77" s="103"/>
    </row>
    <row r="78" spans="1:49" ht="25.5" customHeight="1" outlineLevel="1" x14ac:dyDescent="0.3">
      <c r="A78" s="23"/>
      <c r="B78" s="457"/>
      <c r="C78" s="458"/>
      <c r="D78" s="458"/>
      <c r="E78" s="458"/>
      <c r="F78" s="458"/>
      <c r="G78" s="458"/>
      <c r="H78" s="458"/>
      <c r="I78" s="458"/>
      <c r="J78" s="458"/>
      <c r="K78" s="458"/>
      <c r="L78" s="459"/>
      <c r="M78" s="411"/>
      <c r="N78" s="411"/>
      <c r="O78" s="411"/>
      <c r="P78" s="411"/>
      <c r="Q78" s="411"/>
      <c r="R78" s="411"/>
      <c r="S78" s="411"/>
      <c r="T78" s="411"/>
      <c r="U78" s="210"/>
      <c r="V78" s="210"/>
      <c r="W78" s="210"/>
      <c r="X78" s="210"/>
      <c r="Y78" s="210"/>
      <c r="Z78" s="210"/>
      <c r="AA78" s="210"/>
      <c r="AB78" s="210"/>
      <c r="AC78" s="210"/>
      <c r="AD78" s="210"/>
      <c r="AE78" s="210"/>
      <c r="AF78" s="210"/>
      <c r="AG78" s="210"/>
      <c r="AI78" s="117"/>
      <c r="AJ78" s="117"/>
      <c r="AK78" s="117"/>
      <c r="AL78" s="117"/>
      <c r="AM78" s="117"/>
      <c r="AN78" s="117"/>
      <c r="AO78" s="117"/>
      <c r="AP78" s="103"/>
      <c r="AQ78" s="103"/>
      <c r="AR78" s="103"/>
      <c r="AS78" s="103"/>
    </row>
    <row r="79" spans="1:49" s="105" customFormat="1" ht="8.25" customHeight="1" outlineLevel="1" x14ac:dyDescent="0.25">
      <c r="A79" s="470"/>
      <c r="B79" s="471"/>
      <c r="C79" s="471"/>
      <c r="D79" s="471"/>
      <c r="E79" s="471"/>
      <c r="F79" s="471"/>
      <c r="G79" s="471"/>
      <c r="H79" s="471"/>
      <c r="I79" s="471"/>
      <c r="J79" s="471"/>
      <c r="K79" s="471"/>
      <c r="L79" s="471"/>
      <c r="M79" s="472"/>
      <c r="N79" s="472"/>
      <c r="O79" s="472"/>
      <c r="P79" s="472"/>
      <c r="Q79" s="472"/>
      <c r="R79" s="472"/>
      <c r="S79" s="472"/>
      <c r="T79" s="472"/>
      <c r="U79" s="210"/>
      <c r="V79" s="210"/>
      <c r="W79" s="210"/>
      <c r="X79" s="210"/>
      <c r="Y79" s="210"/>
      <c r="Z79" s="210"/>
      <c r="AA79" s="210"/>
      <c r="AB79" s="210"/>
      <c r="AC79" s="210"/>
      <c r="AD79" s="210"/>
      <c r="AE79" s="210"/>
      <c r="AF79" s="210"/>
      <c r="AG79" s="210"/>
      <c r="AH79" s="113"/>
      <c r="AI79" s="117"/>
      <c r="AJ79" s="117"/>
      <c r="AK79" s="117"/>
      <c r="AL79" s="117"/>
      <c r="AM79" s="117"/>
      <c r="AN79" s="117"/>
      <c r="AO79" s="117"/>
      <c r="AP79" s="103"/>
      <c r="AQ79" s="103"/>
      <c r="AR79" s="103"/>
      <c r="AS79" s="103"/>
      <c r="AT79" s="27"/>
      <c r="AU79" s="27"/>
      <c r="AV79" s="27"/>
      <c r="AW79" s="27"/>
    </row>
    <row r="80" spans="1:49" s="105" customFormat="1" ht="67.5" customHeight="1" outlineLevel="1" x14ac:dyDescent="0.35">
      <c r="A80" s="451" t="str">
        <f>+IF(OR(P60=ISBLANK(" "), P60="No_"), _xlfn.CONCAT('titulos largos concatenar'!B11), " ")</f>
        <v>Te ofrecemos cobertura las 24 horas del día, los 365 días del año, protección en cualquier parte del mundo, dentro o fuera del vehículo. Edad de Entrada: 18 a 70 años. Edad de cancelación: 75 años. Ofrece cobertura de muerte accidental, adelanto por desmembramiento por accidente y por incapacidad total y permanente, homicidio culposo y adelanto de gastos funerarios hasta B/. 3,000.00</v>
      </c>
      <c r="B80" s="452"/>
      <c r="C80" s="452"/>
      <c r="D80" s="452"/>
      <c r="E80" s="452"/>
      <c r="F80" s="452"/>
      <c r="G80" s="452"/>
      <c r="H80" s="452"/>
      <c r="I80" s="452"/>
      <c r="J80" s="452"/>
      <c r="K80" s="452"/>
      <c r="L80" s="452"/>
      <c r="M80" s="452"/>
      <c r="N80" s="452"/>
      <c r="O80" s="452"/>
      <c r="P80" s="452"/>
      <c r="Q80" s="452"/>
      <c r="R80" s="452"/>
      <c r="S80" s="452"/>
      <c r="T80" s="452"/>
      <c r="U80" s="211"/>
      <c r="V80" s="211"/>
      <c r="W80" s="211"/>
      <c r="X80" s="211"/>
      <c r="Y80" s="211"/>
      <c r="Z80" s="211"/>
      <c r="AA80" s="211"/>
      <c r="AB80" s="211"/>
      <c r="AC80" s="211"/>
      <c r="AD80" s="211"/>
      <c r="AE80" s="211"/>
      <c r="AF80" s="211"/>
      <c r="AG80" s="211"/>
      <c r="AH80" s="113"/>
      <c r="AI80" s="117"/>
      <c r="AJ80" s="117"/>
      <c r="AK80" s="117"/>
      <c r="AL80" s="117"/>
      <c r="AM80" s="117"/>
      <c r="AN80" s="117"/>
      <c r="AO80" s="117"/>
      <c r="AP80" s="103"/>
      <c r="AQ80" s="103"/>
      <c r="AR80" s="103"/>
      <c r="AS80" s="103"/>
      <c r="AT80" s="27"/>
      <c r="AU80" s="27"/>
      <c r="AV80" s="27"/>
      <c r="AW80" s="27"/>
    </row>
    <row r="81" spans="1:49" s="105" customFormat="1" ht="8.25" customHeight="1" outlineLevel="1" x14ac:dyDescent="0.25">
      <c r="A81" s="468"/>
      <c r="B81" s="469"/>
      <c r="C81" s="469"/>
      <c r="D81" s="469"/>
      <c r="E81" s="469"/>
      <c r="F81" s="469"/>
      <c r="G81" s="469"/>
      <c r="H81" s="469"/>
      <c r="I81" s="469"/>
      <c r="J81" s="469"/>
      <c r="K81" s="469"/>
      <c r="L81" s="469"/>
      <c r="M81" s="469"/>
      <c r="N81" s="469"/>
      <c r="O81" s="410" t="str">
        <f>+IF(OR(P60=ISBLANK(" "), P60="No_"), "Esta sección no aplica para flota", " ")</f>
        <v>Esta sección no aplica para flota</v>
      </c>
      <c r="P81" s="410"/>
      <c r="Q81" s="410"/>
      <c r="R81" s="410"/>
      <c r="S81" s="410"/>
      <c r="T81" s="410"/>
      <c r="U81" s="210"/>
      <c r="V81" s="210"/>
      <c r="W81" s="210"/>
      <c r="X81" s="210"/>
      <c r="Y81" s="210"/>
      <c r="Z81" s="210"/>
      <c r="AA81" s="210"/>
      <c r="AB81" s="210"/>
      <c r="AC81" s="210"/>
      <c r="AD81" s="210"/>
      <c r="AE81" s="210"/>
      <c r="AF81" s="210"/>
      <c r="AG81" s="210"/>
      <c r="AH81" s="113"/>
      <c r="AI81" s="117"/>
      <c r="AJ81" s="117"/>
      <c r="AK81" s="117"/>
      <c r="AL81" s="117"/>
      <c r="AM81" s="117"/>
      <c r="AN81" s="117"/>
      <c r="AO81" s="117"/>
      <c r="AP81" s="103"/>
      <c r="AQ81" s="103"/>
      <c r="AR81" s="103"/>
      <c r="AS81" s="103"/>
      <c r="AT81" s="27"/>
      <c r="AU81" s="27"/>
      <c r="AV81" s="27"/>
      <c r="AW81" s="27"/>
    </row>
    <row r="82" spans="1:49" s="105" customFormat="1" ht="22.5" customHeight="1" outlineLevel="1" x14ac:dyDescent="0.35">
      <c r="A82" s="104"/>
      <c r="B82" s="460" t="str">
        <f>+IF(OR(P60=ISBLANK(" "), P60="No_"), "Seleccionar plan de accidentes personales", " ")</f>
        <v>Seleccionar plan de accidentes personales</v>
      </c>
      <c r="C82" s="461"/>
      <c r="D82" s="461"/>
      <c r="E82" s="461"/>
      <c r="F82" s="461"/>
      <c r="G82" s="461"/>
      <c r="H82" s="461"/>
      <c r="I82" s="461"/>
      <c r="J82" s="461"/>
      <c r="K82" s="461"/>
      <c r="L82" s="461"/>
      <c r="M82" s="462"/>
      <c r="N82" s="463"/>
      <c r="O82" s="411"/>
      <c r="P82" s="411"/>
      <c r="Q82" s="411"/>
      <c r="R82" s="411"/>
      <c r="S82" s="411"/>
      <c r="T82" s="411"/>
      <c r="U82" s="210"/>
      <c r="V82" s="210"/>
      <c r="W82" s="210"/>
      <c r="X82" s="210"/>
      <c r="Y82" s="210"/>
      <c r="Z82" s="210"/>
      <c r="AA82" s="210"/>
      <c r="AB82" s="210"/>
      <c r="AC82" s="210"/>
      <c r="AD82" s="210"/>
      <c r="AE82" s="210"/>
      <c r="AF82" s="210"/>
      <c r="AG82" s="210"/>
      <c r="AH82" s="113"/>
      <c r="AI82" s="117"/>
      <c r="AJ82" s="117"/>
      <c r="AK82" s="117"/>
      <c r="AL82" s="117"/>
      <c r="AM82" s="117"/>
      <c r="AN82" s="117"/>
      <c r="AO82" s="117"/>
      <c r="AP82" s="103"/>
      <c r="AQ82" s="103"/>
      <c r="AR82" s="103"/>
      <c r="AS82" s="103"/>
      <c r="AT82" s="27"/>
      <c r="AU82" s="27"/>
      <c r="AV82" s="27"/>
      <c r="AW82" s="27"/>
    </row>
    <row r="83" spans="1:49" s="105" customFormat="1" ht="25.5" customHeight="1" outlineLevel="1" x14ac:dyDescent="0.35">
      <c r="A83" s="23"/>
      <c r="B83" s="464"/>
      <c r="C83" s="465"/>
      <c r="D83" s="465"/>
      <c r="E83" s="465"/>
      <c r="F83" s="465"/>
      <c r="G83" s="465"/>
      <c r="H83" s="465"/>
      <c r="I83" s="465"/>
      <c r="J83" s="465"/>
      <c r="K83" s="465"/>
      <c r="L83" s="465"/>
      <c r="M83" s="466"/>
      <c r="N83" s="467"/>
      <c r="O83" s="411"/>
      <c r="P83" s="411"/>
      <c r="Q83" s="411"/>
      <c r="R83" s="411"/>
      <c r="S83" s="411"/>
      <c r="T83" s="411"/>
      <c r="U83" s="210"/>
      <c r="V83" s="210"/>
      <c r="W83" s="210"/>
      <c r="X83" s="210"/>
      <c r="Y83" s="210"/>
      <c r="Z83" s="210"/>
      <c r="AA83" s="210"/>
      <c r="AB83" s="210"/>
      <c r="AC83" s="210"/>
      <c r="AD83" s="210"/>
      <c r="AE83" s="210"/>
      <c r="AF83" s="210"/>
      <c r="AG83" s="210"/>
      <c r="AH83" s="113"/>
      <c r="AI83" s="117"/>
      <c r="AJ83" s="117"/>
      <c r="AK83" s="117"/>
      <c r="AL83" s="117"/>
      <c r="AM83" s="117"/>
      <c r="AN83" s="117"/>
      <c r="AO83" s="117"/>
      <c r="AP83" s="103"/>
      <c r="AQ83" s="103"/>
      <c r="AR83" s="103"/>
      <c r="AS83" s="103"/>
      <c r="AT83" s="27"/>
      <c r="AU83" s="27"/>
      <c r="AV83" s="27"/>
      <c r="AW83" s="27"/>
    </row>
    <row r="84" spans="1:49" ht="8.25" customHeight="1" outlineLevel="1" x14ac:dyDescent="0.25">
      <c r="A84" s="473"/>
      <c r="B84" s="474"/>
      <c r="C84" s="474"/>
      <c r="D84" s="474"/>
      <c r="E84" s="474"/>
      <c r="F84" s="474"/>
      <c r="G84" s="474"/>
      <c r="H84" s="474"/>
      <c r="I84" s="474"/>
      <c r="J84" s="474"/>
      <c r="K84" s="474"/>
      <c r="L84" s="474"/>
      <c r="M84" s="474"/>
      <c r="N84" s="474"/>
      <c r="O84" s="412"/>
      <c r="P84" s="412"/>
      <c r="Q84" s="412"/>
      <c r="R84" s="412"/>
      <c r="S84" s="412"/>
      <c r="T84" s="412"/>
      <c r="U84" s="210"/>
      <c r="V84" s="210"/>
      <c r="W84" s="210"/>
      <c r="X84" s="210"/>
      <c r="Y84" s="210"/>
      <c r="Z84" s="210"/>
      <c r="AA84" s="210"/>
      <c r="AB84" s="210"/>
      <c r="AC84" s="210"/>
      <c r="AD84" s="210"/>
      <c r="AE84" s="210"/>
      <c r="AF84" s="210"/>
      <c r="AG84" s="210"/>
    </row>
    <row r="85" spans="1:49" s="121" customFormat="1" ht="24.75" customHeight="1" x14ac:dyDescent="0.2">
      <c r="A85" s="415" t="str">
        <f>+IF(A74="Sección IV: PORQUE PENSAMOS EN LA SEGURIDAD Y EL BIENESTAR DE LOS TUYOS, ¿DESEAS ADQUIRIR POLIZAS DE ACCIDENTES PERSONALES?", "Sección V: Beneficiarios para las pólizas de Automóvil y Accidentes Personales", "Sección IV: Beneficiarios para las pólizas de Automóvil y Accidentes Personales")</f>
        <v>Sección V: Beneficiarios para las pólizas de Automóvil y Accidentes Personales</v>
      </c>
      <c r="B85" s="343"/>
      <c r="C85" s="343"/>
      <c r="D85" s="343"/>
      <c r="E85" s="343"/>
      <c r="F85" s="343"/>
      <c r="G85" s="343"/>
      <c r="H85" s="343"/>
      <c r="I85" s="343"/>
      <c r="J85" s="343"/>
      <c r="K85" s="343"/>
      <c r="L85" s="343"/>
      <c r="M85" s="343"/>
      <c r="N85" s="343"/>
      <c r="O85" s="343"/>
      <c r="P85" s="343"/>
      <c r="Q85" s="343"/>
      <c r="R85" s="343"/>
      <c r="S85" s="343"/>
      <c r="T85" s="416"/>
      <c r="U85" s="143"/>
      <c r="V85" s="143"/>
      <c r="W85" s="143"/>
      <c r="X85" s="143"/>
      <c r="Y85" s="143"/>
      <c r="Z85" s="143"/>
      <c r="AA85" s="143"/>
      <c r="AB85" s="143"/>
      <c r="AC85" s="143"/>
      <c r="AD85" s="143"/>
      <c r="AE85" s="143"/>
      <c r="AF85" s="143"/>
      <c r="AG85" s="143"/>
      <c r="AH85" s="179"/>
      <c r="AI85" s="179"/>
      <c r="AJ85" s="179"/>
      <c r="AK85" s="179"/>
      <c r="AL85" s="179"/>
      <c r="AM85" s="179"/>
    </row>
    <row r="86" spans="1:49" s="121" customFormat="1" ht="21.75" customHeight="1" x14ac:dyDescent="0.25">
      <c r="A86" s="216" t="s">
        <v>2001</v>
      </c>
      <c r="B86" s="343"/>
      <c r="C86" s="343"/>
      <c r="D86" s="343"/>
      <c r="E86" s="343"/>
      <c r="F86" s="416"/>
      <c r="G86" s="216" t="s">
        <v>150</v>
      </c>
      <c r="H86" s="416"/>
      <c r="I86" s="216" t="s">
        <v>2002</v>
      </c>
      <c r="J86" s="454"/>
      <c r="K86" s="454"/>
      <c r="L86" s="454"/>
      <c r="M86" s="454"/>
      <c r="N86" s="455"/>
      <c r="O86" s="216" t="s">
        <v>2003</v>
      </c>
      <c r="P86" s="427"/>
      <c r="Q86" s="427"/>
      <c r="R86" s="456"/>
      <c r="S86" s="290" t="s">
        <v>1501</v>
      </c>
      <c r="T86" s="453"/>
      <c r="U86" s="143"/>
      <c r="V86" s="143"/>
      <c r="W86" s="143"/>
      <c r="X86" s="143"/>
      <c r="Y86" s="143"/>
      <c r="Z86" s="143"/>
      <c r="AA86" s="143"/>
      <c r="AB86" s="143"/>
      <c r="AC86" s="143"/>
      <c r="AD86" s="143"/>
      <c r="AE86" s="143"/>
      <c r="AF86" s="143"/>
      <c r="AG86" s="143"/>
      <c r="AH86" s="179"/>
      <c r="AI86" s="179"/>
      <c r="AJ86" s="179"/>
      <c r="AK86" s="179"/>
      <c r="AL86" s="179"/>
      <c r="AM86" s="179"/>
    </row>
    <row r="87" spans="1:49" s="121" customFormat="1" ht="24.75" customHeight="1" x14ac:dyDescent="0.3">
      <c r="A87" s="402"/>
      <c r="B87" s="403"/>
      <c r="C87" s="403"/>
      <c r="D87" s="403"/>
      <c r="E87" s="403"/>
      <c r="F87" s="403"/>
      <c r="G87" s="404"/>
      <c r="H87" s="405"/>
      <c r="I87" s="175"/>
      <c r="J87" s="176"/>
      <c r="K87" s="406"/>
      <c r="L87" s="403"/>
      <c r="M87" s="403"/>
      <c r="N87" s="407"/>
      <c r="O87" s="408"/>
      <c r="P87" s="409"/>
      <c r="Q87" s="409"/>
      <c r="R87" s="409"/>
      <c r="S87" s="400"/>
      <c r="T87" s="401"/>
      <c r="U87" s="143"/>
      <c r="V87" s="188"/>
      <c r="W87" s="189"/>
      <c r="X87" s="184" t="str">
        <f>+_xlfn.IFS(G87="Cedula", "pan", OR(G87="Pasaporte",G87=ISBLANK( " "),G87= "RUC",G87= "Otros"), "nopan")</f>
        <v>nopan</v>
      </c>
      <c r="Y87" s="143"/>
      <c r="Z87" s="143"/>
      <c r="AA87" s="143"/>
      <c r="AB87" s="143"/>
      <c r="AC87" s="143"/>
      <c r="AD87" s="143"/>
      <c r="AE87" s="143"/>
      <c r="AF87" s="143"/>
      <c r="AG87" s="143"/>
      <c r="AH87" s="179"/>
      <c r="AI87" s="179"/>
      <c r="AJ87" s="179"/>
      <c r="AK87" s="179"/>
      <c r="AL87" s="179"/>
      <c r="AM87" s="179"/>
    </row>
    <row r="88" spans="1:49" s="121" customFormat="1" ht="24.75" customHeight="1" x14ac:dyDescent="0.3">
      <c r="A88" s="390"/>
      <c r="B88" s="391"/>
      <c r="C88" s="391"/>
      <c r="D88" s="391"/>
      <c r="E88" s="391"/>
      <c r="F88" s="391"/>
      <c r="G88" s="392"/>
      <c r="H88" s="393"/>
      <c r="I88" s="134"/>
      <c r="J88" s="135"/>
      <c r="K88" s="394"/>
      <c r="L88" s="391"/>
      <c r="M88" s="391"/>
      <c r="N88" s="395"/>
      <c r="O88" s="396"/>
      <c r="P88" s="397"/>
      <c r="Q88" s="397"/>
      <c r="R88" s="397"/>
      <c r="S88" s="398"/>
      <c r="T88" s="399"/>
      <c r="U88" s="143"/>
      <c r="V88" s="188"/>
      <c r="W88" s="189"/>
      <c r="X88" s="184" t="str">
        <f>+_xlfn.IFS(G88="Cedula", "pan", OR(G88="Pasaporte",G88=ISBLANK( " "),G88= "RUC",G88= "Otros"), "nopan")</f>
        <v>nopan</v>
      </c>
      <c r="Y88" s="143"/>
      <c r="Z88" s="143"/>
      <c r="AA88" s="143"/>
      <c r="AB88" s="143"/>
      <c r="AC88" s="143"/>
      <c r="AD88" s="143"/>
      <c r="AE88" s="143"/>
      <c r="AF88" s="143"/>
      <c r="AG88" s="143"/>
      <c r="AH88" s="179"/>
      <c r="AI88" s="179"/>
      <c r="AJ88" s="179"/>
      <c r="AK88" s="179"/>
      <c r="AL88" s="179"/>
      <c r="AM88" s="179"/>
    </row>
    <row r="89" spans="1:49" s="156" customFormat="1" ht="24.75" customHeight="1" x14ac:dyDescent="0.3">
      <c r="A89" s="390"/>
      <c r="B89" s="391"/>
      <c r="C89" s="391"/>
      <c r="D89" s="391"/>
      <c r="E89" s="391"/>
      <c r="F89" s="391"/>
      <c r="G89" s="392"/>
      <c r="H89" s="393"/>
      <c r="I89" s="134"/>
      <c r="J89" s="135"/>
      <c r="K89" s="394"/>
      <c r="L89" s="391"/>
      <c r="M89" s="391"/>
      <c r="N89" s="395"/>
      <c r="O89" s="396"/>
      <c r="P89" s="397"/>
      <c r="Q89" s="397"/>
      <c r="R89" s="397"/>
      <c r="S89" s="398"/>
      <c r="T89" s="399"/>
      <c r="U89" s="143"/>
      <c r="V89" s="188"/>
      <c r="W89" s="189"/>
      <c r="X89" s="184" t="str">
        <f>+_xlfn.IFS(G89="Cedula", "pan", OR(G89="Pasaporte",G89=ISBLANK( " "),G89= "RUC",G89= "Otros"), "nopan")</f>
        <v>nopan</v>
      </c>
      <c r="Y89" s="143"/>
      <c r="Z89" s="143"/>
      <c r="AA89" s="143"/>
      <c r="AB89" s="143"/>
      <c r="AC89" s="143"/>
      <c r="AD89" s="143"/>
      <c r="AE89" s="143"/>
      <c r="AF89" s="143"/>
      <c r="AG89" s="143"/>
      <c r="AH89" s="179"/>
      <c r="AI89" s="179"/>
      <c r="AJ89" s="179"/>
      <c r="AK89" s="179"/>
      <c r="AL89" s="179"/>
      <c r="AM89" s="179"/>
    </row>
    <row r="90" spans="1:49" s="156" customFormat="1" ht="24.75" customHeight="1" x14ac:dyDescent="0.3">
      <c r="A90" s="390"/>
      <c r="B90" s="391"/>
      <c r="C90" s="391"/>
      <c r="D90" s="391"/>
      <c r="E90" s="391"/>
      <c r="F90" s="391"/>
      <c r="G90" s="392"/>
      <c r="H90" s="393"/>
      <c r="I90" s="134"/>
      <c r="J90" s="135"/>
      <c r="K90" s="394"/>
      <c r="L90" s="391"/>
      <c r="M90" s="391"/>
      <c r="N90" s="395"/>
      <c r="O90" s="396"/>
      <c r="P90" s="397"/>
      <c r="Q90" s="397"/>
      <c r="R90" s="397"/>
      <c r="S90" s="398"/>
      <c r="T90" s="399"/>
      <c r="U90" s="143"/>
      <c r="V90" s="188"/>
      <c r="W90" s="189"/>
      <c r="X90" s="184" t="str">
        <f>+_xlfn.IFS(G90="Cedula", "pan", OR(G90="Pasaporte",G90=ISBLANK( " "),G90= "RUC",G90= "Otros"), "nopan")</f>
        <v>nopan</v>
      </c>
      <c r="Y90" s="143"/>
      <c r="Z90" s="143"/>
      <c r="AA90" s="143"/>
      <c r="AB90" s="143"/>
      <c r="AC90" s="143"/>
      <c r="AD90" s="143"/>
      <c r="AE90" s="143"/>
      <c r="AF90" s="143"/>
      <c r="AG90" s="143"/>
      <c r="AH90" s="179"/>
      <c r="AI90" s="179"/>
      <c r="AJ90" s="179"/>
      <c r="AK90" s="179"/>
      <c r="AL90" s="179"/>
      <c r="AM90" s="179"/>
    </row>
    <row r="91" spans="1:49" s="121" customFormat="1" ht="24.75" customHeight="1" x14ac:dyDescent="0.3">
      <c r="A91" s="437"/>
      <c r="B91" s="438"/>
      <c r="C91" s="438"/>
      <c r="D91" s="438"/>
      <c r="E91" s="438"/>
      <c r="F91" s="438"/>
      <c r="G91" s="439"/>
      <c r="H91" s="440"/>
      <c r="I91" s="177"/>
      <c r="J91" s="178"/>
      <c r="K91" s="441"/>
      <c r="L91" s="438"/>
      <c r="M91" s="438"/>
      <c r="N91" s="442"/>
      <c r="O91" s="443"/>
      <c r="P91" s="444"/>
      <c r="Q91" s="444"/>
      <c r="R91" s="444"/>
      <c r="S91" s="435"/>
      <c r="T91" s="436"/>
      <c r="U91" s="143"/>
      <c r="V91" s="188"/>
      <c r="W91" s="189"/>
      <c r="X91" s="184" t="str">
        <f>+_xlfn.IFS(G91="Cedula", "pan", OR(G91="Pasaporte",G91=ISBLANK( " "),G91= "RUC",G91= "Otros"), "nopan")</f>
        <v>nopan</v>
      </c>
      <c r="Y91" s="143"/>
      <c r="Z91" s="143"/>
      <c r="AA91" s="143"/>
      <c r="AB91" s="143"/>
      <c r="AC91" s="143"/>
      <c r="AD91" s="143"/>
      <c r="AE91" s="143"/>
      <c r="AF91" s="143"/>
      <c r="AG91" s="143"/>
      <c r="AH91" s="179"/>
      <c r="AI91" s="179"/>
      <c r="AJ91" s="179"/>
      <c r="AK91" s="179"/>
      <c r="AL91" s="179"/>
      <c r="AM91" s="179"/>
    </row>
    <row r="92" spans="1:49" s="121" customFormat="1" ht="23.25" x14ac:dyDescent="0.35">
      <c r="A92" s="415" t="str">
        <f>+IF(A85="Sección V: Beneficiarios para las pólizas de Automóvil y Accidentes Personales", "Sección VI: Información de Pago", "Sección V: Información de Pago")</f>
        <v>Sección VI: Información de Pago</v>
      </c>
      <c r="B92" s="343"/>
      <c r="C92" s="343"/>
      <c r="D92" s="343"/>
      <c r="E92" s="343"/>
      <c r="F92" s="343"/>
      <c r="G92" s="343"/>
      <c r="H92" s="343"/>
      <c r="I92" s="343"/>
      <c r="J92" s="343"/>
      <c r="K92" s="343"/>
      <c r="L92" s="343"/>
      <c r="M92" s="343"/>
      <c r="N92" s="343"/>
      <c r="O92" s="343"/>
      <c r="P92" s="343"/>
      <c r="Q92" s="343"/>
      <c r="R92" s="343"/>
      <c r="S92" s="343"/>
      <c r="T92" s="416"/>
      <c r="U92" s="142"/>
      <c r="V92" s="143"/>
      <c r="W92" s="143"/>
      <c r="X92" s="143"/>
      <c r="Y92" s="143"/>
      <c r="Z92" s="143"/>
      <c r="AA92" s="143"/>
      <c r="AB92" s="143"/>
      <c r="AC92" s="143"/>
      <c r="AD92" s="143"/>
      <c r="AE92" s="143"/>
      <c r="AF92" s="143"/>
      <c r="AG92" s="143"/>
      <c r="AH92" s="179"/>
      <c r="AI92" s="179"/>
      <c r="AJ92" s="179"/>
      <c r="AK92" s="179"/>
      <c r="AL92" s="179"/>
      <c r="AM92" s="179"/>
    </row>
    <row r="93" spans="1:49" s="121" customFormat="1" ht="24.75" customHeight="1" outlineLevel="2" x14ac:dyDescent="0.2">
      <c r="A93" s="216" t="s">
        <v>1290</v>
      </c>
      <c r="B93" s="428"/>
      <c r="C93" s="428"/>
      <c r="D93" s="136" t="s">
        <v>0</v>
      </c>
      <c r="E93" s="429"/>
      <c r="F93" s="430"/>
      <c r="G93" s="430"/>
      <c r="H93" s="431"/>
      <c r="I93" s="431"/>
      <c r="J93" s="431"/>
      <c r="K93" s="431"/>
      <c r="L93" s="431"/>
      <c r="M93" s="431"/>
      <c r="N93" s="432"/>
      <c r="O93" s="433"/>
      <c r="P93" s="433"/>
      <c r="Q93" s="433"/>
      <c r="R93" s="433"/>
      <c r="S93" s="433"/>
      <c r="T93" s="434"/>
      <c r="U93" s="143"/>
      <c r="V93" s="193" t="str">
        <f>+IF(OR(E93="Descuento_Automático_Tarjeta_de_Credito_Debito", E93="Descuento_Automático_Tarjeta_de_Credito"),"a", "b")</f>
        <v>b</v>
      </c>
      <c r="W93" s="193" t="str">
        <f>+IF(OR(E93="Descuento_Automático_Tarjeta_de_Credito_Debito", E93="Descuento_Automático_Tarjeta_de_Credito"),"todos", "una")</f>
        <v>una</v>
      </c>
      <c r="X93" s="143"/>
      <c r="Y93" s="143"/>
      <c r="Z93" s="143"/>
      <c r="AA93" s="143"/>
      <c r="AB93" s="143"/>
      <c r="AC93" s="143"/>
      <c r="AD93" s="143"/>
      <c r="AE93" s="143"/>
      <c r="AF93" s="143"/>
      <c r="AG93" s="143"/>
      <c r="AH93" s="179"/>
      <c r="AI93" s="179"/>
      <c r="AJ93" s="179"/>
      <c r="AK93" s="179"/>
      <c r="AL93" s="179"/>
      <c r="AM93" s="179"/>
    </row>
    <row r="94" spans="1:49" s="121" customFormat="1" ht="24.75" customHeight="1" outlineLevel="2" x14ac:dyDescent="0.25">
      <c r="A94" s="216" t="s">
        <v>1293</v>
      </c>
      <c r="B94" s="425"/>
      <c r="C94" s="425"/>
      <c r="D94" s="136" t="s">
        <v>0</v>
      </c>
      <c r="E94" s="422"/>
      <c r="F94" s="423"/>
      <c r="G94" s="424"/>
      <c r="H94" s="216" t="s">
        <v>1912</v>
      </c>
      <c r="I94" s="425"/>
      <c r="J94" s="425"/>
      <c r="K94" s="425"/>
      <c r="L94" s="425"/>
      <c r="M94" s="239"/>
      <c r="N94" s="422"/>
      <c r="O94" s="426"/>
      <c r="P94" s="426"/>
      <c r="Q94" s="426"/>
      <c r="R94" s="426"/>
      <c r="S94" s="426"/>
      <c r="T94" s="426"/>
      <c r="U94" s="119"/>
      <c r="V94" s="143"/>
      <c r="W94" s="143"/>
      <c r="X94" s="143"/>
      <c r="Y94" s="143"/>
      <c r="Z94" s="143"/>
      <c r="AA94" s="143"/>
      <c r="AB94" s="143"/>
      <c r="AC94" s="143"/>
      <c r="AD94" s="143"/>
      <c r="AE94" s="143"/>
      <c r="AF94" s="143"/>
      <c r="AG94" s="143"/>
      <c r="AH94" s="179"/>
      <c r="AI94" s="179"/>
      <c r="AJ94" s="179"/>
      <c r="AK94" s="179"/>
      <c r="AL94" s="179"/>
      <c r="AM94" s="179"/>
    </row>
    <row r="95" spans="1:49" s="121" customFormat="1" ht="23.25" outlineLevel="2" x14ac:dyDescent="0.35">
      <c r="A95" s="415" t="str">
        <f>+IF(OR(E93="Descuento_Automático_Tarjeta_de_Credito", E93= "Descuento_Automático_Tarjeta_de_Credito_Debito",E93=ISBLANK(" ")), "Información de tarjeta de credito", "No llenar esta sección")</f>
        <v>Información de tarjeta de credito</v>
      </c>
      <c r="B95" s="343"/>
      <c r="C95" s="343"/>
      <c r="D95" s="343"/>
      <c r="E95" s="343"/>
      <c r="F95" s="343"/>
      <c r="G95" s="343"/>
      <c r="H95" s="343"/>
      <c r="I95" s="343"/>
      <c r="J95" s="343"/>
      <c r="K95" s="343"/>
      <c r="L95" s="343"/>
      <c r="M95" s="343"/>
      <c r="N95" s="343"/>
      <c r="O95" s="343"/>
      <c r="P95" s="343"/>
      <c r="Q95" s="343"/>
      <c r="R95" s="343"/>
      <c r="S95" s="343"/>
      <c r="T95" s="416"/>
      <c r="U95" s="142"/>
      <c r="V95" s="143"/>
      <c r="W95" s="143"/>
      <c r="X95" s="143"/>
      <c r="Y95" s="143"/>
      <c r="Z95" s="143"/>
      <c r="AA95" s="143"/>
      <c r="AB95" s="143"/>
      <c r="AC95" s="143"/>
      <c r="AD95" s="143"/>
      <c r="AE95" s="143"/>
      <c r="AF95" s="143"/>
      <c r="AG95" s="143"/>
      <c r="AH95" s="179"/>
      <c r="AI95" s="179"/>
      <c r="AJ95" s="179"/>
      <c r="AK95" s="179"/>
      <c r="AL95" s="179"/>
      <c r="AM95" s="179"/>
    </row>
    <row r="96" spans="1:49" s="121" customFormat="1" ht="21.75" customHeight="1" outlineLevel="2" x14ac:dyDescent="0.2">
      <c r="A96" s="216" t="str">
        <f>IF(A95="Información de Tarjeta de Credito", "Tipo", " ")</f>
        <v>Tipo</v>
      </c>
      <c r="B96" s="217"/>
      <c r="C96" s="136" t="str">
        <f>IF(A96="Tipo", "*", " ")</f>
        <v>*</v>
      </c>
      <c r="D96" s="216" t="str">
        <f>IF(A95="Información de Tarjeta de Credito", "Numero de tarjeta", " ")</f>
        <v>Numero de tarjeta</v>
      </c>
      <c r="E96" s="217"/>
      <c r="F96" s="217"/>
      <c r="G96" s="217"/>
      <c r="H96" s="136" t="str">
        <f>IF(D96="Numero de tarjeta", "*", " ")</f>
        <v>*</v>
      </c>
      <c r="I96" s="216" t="str">
        <f>IF(A95="Información de Tarjeta de Credito", "Nombre del tarjetahabiente", " ")</f>
        <v>Nombre del tarjetahabiente</v>
      </c>
      <c r="J96" s="217"/>
      <c r="K96" s="217"/>
      <c r="L96" s="217"/>
      <c r="M96" s="217"/>
      <c r="N96" s="217"/>
      <c r="O96" s="217"/>
      <c r="P96" s="136" t="str">
        <f>IF(I96="Nombre del tarjetahabiente", "*", " ")</f>
        <v>*</v>
      </c>
      <c r="Q96" s="216" t="str">
        <f>IF(A95="Información de Tarjeta de Credito", "Fecha de Exp.", " ")</f>
        <v>Fecha de Exp.</v>
      </c>
      <c r="R96" s="427"/>
      <c r="S96" s="217"/>
      <c r="T96" s="136" t="str">
        <f>IF(Q96= "Fecha de Exp.", "*", " ")</f>
        <v>*</v>
      </c>
      <c r="U96" s="143"/>
      <c r="V96" s="143"/>
      <c r="W96" s="143"/>
      <c r="X96" s="143"/>
      <c r="Y96" s="143"/>
      <c r="Z96" s="143"/>
      <c r="AA96" s="143"/>
      <c r="AB96" s="143"/>
      <c r="AC96" s="143"/>
      <c r="AD96" s="143"/>
      <c r="AE96" s="143"/>
      <c r="AF96" s="143"/>
      <c r="AG96" s="143"/>
      <c r="AH96" s="179"/>
      <c r="AI96" s="179"/>
      <c r="AJ96" s="179"/>
      <c r="AK96" s="179"/>
      <c r="AL96" s="179"/>
      <c r="AM96" s="179"/>
    </row>
    <row r="97" spans="1:39" s="121" customFormat="1" ht="24.75" customHeight="1" outlineLevel="2" x14ac:dyDescent="0.2">
      <c r="A97" s="377"/>
      <c r="B97" s="380"/>
      <c r="C97" s="355"/>
      <c r="D97" s="417"/>
      <c r="E97" s="380"/>
      <c r="F97" s="380"/>
      <c r="G97" s="380"/>
      <c r="H97" s="355"/>
      <c r="I97" s="417"/>
      <c r="J97" s="371"/>
      <c r="K97" s="371"/>
      <c r="L97" s="371"/>
      <c r="M97" s="371"/>
      <c r="N97" s="371"/>
      <c r="O97" s="371"/>
      <c r="P97" s="418"/>
      <c r="Q97" s="419"/>
      <c r="R97" s="420"/>
      <c r="S97" s="421"/>
      <c r="T97" s="421"/>
      <c r="U97" s="143"/>
      <c r="V97" s="143"/>
      <c r="W97" s="143"/>
      <c r="X97" s="143"/>
      <c r="Y97" s="143"/>
      <c r="Z97" s="143"/>
      <c r="AA97" s="143"/>
      <c r="AB97" s="143"/>
      <c r="AC97" s="143"/>
      <c r="AD97" s="143"/>
      <c r="AE97" s="143"/>
      <c r="AF97" s="143"/>
      <c r="AG97" s="143"/>
      <c r="AH97" s="179"/>
      <c r="AI97" s="179"/>
      <c r="AJ97" s="179"/>
      <c r="AK97" s="179"/>
      <c r="AL97" s="179"/>
      <c r="AM97" s="179"/>
    </row>
    <row r="98" spans="1:39" s="121" customFormat="1" ht="21.75" customHeight="1" outlineLevel="2" x14ac:dyDescent="0.2">
      <c r="A98" s="216" t="str">
        <f>IF(A95="Información de Tarjeta de Credito", "Banco", " ")</f>
        <v>Banco</v>
      </c>
      <c r="B98" s="343"/>
      <c r="C98" s="343"/>
      <c r="D98" s="343"/>
      <c r="E98" s="343"/>
      <c r="F98" s="343"/>
      <c r="G98" s="343"/>
      <c r="H98" s="343"/>
      <c r="I98" s="343"/>
      <c r="J98" s="136" t="str">
        <f>IF(A98= "Banco", "*", " ")</f>
        <v>*</v>
      </c>
      <c r="K98" s="216" t="str">
        <f>IF(A95="Información de Tarjeta de Credito", "Tipo de ID", " ")</f>
        <v>Tipo de ID</v>
      </c>
      <c r="L98" s="348"/>
      <c r="M98" s="129" t="str">
        <f>IF(K98= " ", " ", "*")</f>
        <v>*</v>
      </c>
      <c r="N98" s="216" t="str">
        <f>IF(A95="Información de Tarjeta de Credito", "Identificacion", " ")</f>
        <v>Identificacion</v>
      </c>
      <c r="O98" s="343"/>
      <c r="P98" s="343"/>
      <c r="Q98" s="343"/>
      <c r="R98" s="343"/>
      <c r="S98" s="348"/>
      <c r="T98" s="136" t="str">
        <f>IF(N98= "Identificacion", "*", " ")</f>
        <v>*</v>
      </c>
      <c r="U98" s="150"/>
      <c r="V98" s="143"/>
      <c r="W98" s="143"/>
      <c r="X98" s="143"/>
      <c r="Y98" s="143"/>
      <c r="Z98" s="143"/>
      <c r="AA98" s="143"/>
      <c r="AB98" s="143"/>
      <c r="AC98" s="143"/>
      <c r="AD98" s="143"/>
      <c r="AE98" s="143"/>
      <c r="AF98" s="143"/>
      <c r="AG98" s="143"/>
      <c r="AH98" s="179"/>
      <c r="AI98" s="179"/>
      <c r="AJ98" s="179"/>
      <c r="AK98" s="179"/>
      <c r="AL98" s="179"/>
      <c r="AM98" s="179"/>
    </row>
    <row r="99" spans="1:39" s="121" customFormat="1" ht="24.75" customHeight="1" outlineLevel="2" x14ac:dyDescent="0.2">
      <c r="A99" s="349"/>
      <c r="B99" s="350"/>
      <c r="C99" s="350"/>
      <c r="D99" s="350"/>
      <c r="E99" s="350"/>
      <c r="F99" s="350"/>
      <c r="G99" s="350"/>
      <c r="H99" s="350"/>
      <c r="I99" s="350"/>
      <c r="J99" s="350"/>
      <c r="K99" s="351"/>
      <c r="L99" s="303"/>
      <c r="M99" s="352"/>
      <c r="N99" s="124"/>
      <c r="O99" s="123"/>
      <c r="P99" s="353"/>
      <c r="Q99" s="354"/>
      <c r="R99" s="354"/>
      <c r="S99" s="354"/>
      <c r="T99" s="355"/>
      <c r="U99" s="150"/>
      <c r="V99" s="143"/>
      <c r="W99" s="212" t="str">
        <f>+_xlfn.IFS(K99="Cedula", "pan", OR(K99="Pasaporte", K99=ISBLANK(" ")), "nopan")</f>
        <v>nopan</v>
      </c>
      <c r="X99" s="143"/>
      <c r="Y99" s="143"/>
      <c r="Z99" s="143"/>
      <c r="AA99" s="143"/>
      <c r="AB99" s="143"/>
      <c r="AC99" s="143"/>
      <c r="AD99" s="143"/>
      <c r="AE99" s="143"/>
      <c r="AF99" s="143"/>
      <c r="AG99" s="143"/>
      <c r="AH99" s="179"/>
      <c r="AI99" s="179"/>
      <c r="AJ99" s="179"/>
      <c r="AK99" s="179"/>
      <c r="AL99" s="179"/>
      <c r="AM99" s="179"/>
    </row>
    <row r="100" spans="1:39" s="121" customFormat="1" ht="18" customHeight="1" outlineLevel="2" x14ac:dyDescent="0.3">
      <c r="A100" s="356" t="str">
        <f>+IF(A95="Información de tarjeta de credito",CONCATENATE('textos de autorizaciones'!C6), " ")</f>
        <v xml:space="preserve"> "Esta autorización continuará vigente después de la renovación de mi tarjeta de crédito y así se mantendrá al momento de renovarse la póliza. Sólo podrá ser cancelada por mí mediando notificación previa y escrita a SEGUROS SURAMERICANA, S.A. o por decisión de ésta en caso de incumplimiento. Reconozco que es mi compromiso mantener saldo suficiente para que puedan hacerse efectivos los cargos que por este medio he autorizado y en consecuencia relevo a SEGUROS SURAMERICANA, S.A. de cualquier responsabilidad que pudiera ocasionar la pérdida del seguro. El importe de la prima está sujeto a modificaciones, ya sea por el asegurado o por SEGUROS SURAMERICANA, S.A., en cuyo caso será igualmente comunicado al banco para su cobro. El cliente se hace responsable de notificar a SEGUROS SURAMERICANA, S.A. El vencimiento así como cualquier cambio de tarjeta de crédito. En el evento que la cuenta antes señalada, no tenga fondos, autorizo a SEGUROS SURAMERICANA, S.A. y a la vez a EL BANCO, para que REALICE DÉBITOS a cualquier otra cuenta que mantenga con fondos.”</v>
      </c>
      <c r="B100" s="357"/>
      <c r="C100" s="357"/>
      <c r="D100" s="357"/>
      <c r="E100" s="357"/>
      <c r="F100" s="357"/>
      <c r="G100" s="357"/>
      <c r="H100" s="357"/>
      <c r="I100" s="357"/>
      <c r="J100" s="357"/>
      <c r="K100" s="357"/>
      <c r="L100" s="357"/>
      <c r="M100" s="357"/>
      <c r="N100" s="357"/>
      <c r="O100" s="357"/>
      <c r="P100" s="357"/>
      <c r="Q100" s="357"/>
      <c r="R100" s="357"/>
      <c r="S100" s="357"/>
      <c r="T100" s="358"/>
      <c r="U100" s="151"/>
      <c r="V100" s="143"/>
      <c r="W100" s="143"/>
      <c r="X100" s="143"/>
      <c r="Y100" s="143"/>
      <c r="Z100" s="143"/>
      <c r="AA100" s="143"/>
      <c r="AB100" s="143"/>
      <c r="AC100" s="143"/>
      <c r="AD100" s="143"/>
      <c r="AE100" s="143"/>
      <c r="AF100" s="143"/>
      <c r="AG100" s="143"/>
      <c r="AH100" s="179"/>
      <c r="AI100" s="179"/>
      <c r="AJ100" s="179"/>
      <c r="AK100" s="179"/>
      <c r="AL100" s="179"/>
      <c r="AM100" s="179"/>
    </row>
    <row r="101" spans="1:39" s="121" customFormat="1" ht="52.5" customHeight="1" outlineLevel="2" x14ac:dyDescent="0.3">
      <c r="A101" s="335"/>
      <c r="B101" s="359"/>
      <c r="C101" s="359"/>
      <c r="D101" s="359"/>
      <c r="E101" s="359"/>
      <c r="F101" s="359"/>
      <c r="G101" s="359"/>
      <c r="H101" s="359"/>
      <c r="I101" s="359"/>
      <c r="J101" s="359"/>
      <c r="K101" s="359"/>
      <c r="L101" s="359"/>
      <c r="M101" s="359"/>
      <c r="N101" s="359"/>
      <c r="O101" s="359"/>
      <c r="P101" s="359"/>
      <c r="Q101" s="359"/>
      <c r="R101" s="359"/>
      <c r="S101" s="359"/>
      <c r="T101" s="330"/>
      <c r="U101" s="151"/>
      <c r="V101" s="143"/>
      <c r="W101" s="143"/>
      <c r="X101" s="143"/>
      <c r="Y101" s="143"/>
      <c r="Z101" s="143"/>
      <c r="AA101" s="143"/>
      <c r="AB101" s="143"/>
      <c r="AC101" s="143"/>
      <c r="AD101" s="143"/>
      <c r="AE101" s="143"/>
      <c r="AF101" s="143"/>
      <c r="AG101" s="143"/>
      <c r="AH101" s="179"/>
      <c r="AI101" s="179"/>
      <c r="AJ101" s="179"/>
      <c r="AK101" s="179"/>
      <c r="AL101" s="179"/>
      <c r="AM101" s="179"/>
    </row>
    <row r="102" spans="1:39" s="121" customFormat="1" ht="52.5" customHeight="1" outlineLevel="2" x14ac:dyDescent="0.3">
      <c r="A102" s="335"/>
      <c r="B102" s="359"/>
      <c r="C102" s="359"/>
      <c r="D102" s="359"/>
      <c r="E102" s="359"/>
      <c r="F102" s="359"/>
      <c r="G102" s="359"/>
      <c r="H102" s="359"/>
      <c r="I102" s="359"/>
      <c r="J102" s="359"/>
      <c r="K102" s="359"/>
      <c r="L102" s="359"/>
      <c r="M102" s="359"/>
      <c r="N102" s="359"/>
      <c r="O102" s="359"/>
      <c r="P102" s="359"/>
      <c r="Q102" s="359"/>
      <c r="R102" s="359"/>
      <c r="S102" s="359"/>
      <c r="T102" s="330"/>
      <c r="U102" s="151"/>
      <c r="V102" s="143"/>
      <c r="W102" s="143"/>
      <c r="X102" s="143"/>
      <c r="Y102" s="143"/>
      <c r="Z102" s="143"/>
      <c r="AA102" s="143"/>
      <c r="AB102" s="143"/>
      <c r="AC102" s="143"/>
      <c r="AD102" s="143"/>
      <c r="AE102" s="143"/>
      <c r="AF102" s="143"/>
      <c r="AG102" s="143"/>
      <c r="AH102" s="179"/>
      <c r="AI102" s="179"/>
      <c r="AJ102" s="179"/>
      <c r="AK102" s="179"/>
      <c r="AL102" s="179"/>
      <c r="AM102" s="179"/>
    </row>
    <row r="103" spans="1:39" s="121" customFormat="1" ht="75.75" customHeight="1" outlineLevel="2" x14ac:dyDescent="0.3">
      <c r="A103" s="360"/>
      <c r="B103" s="337"/>
      <c r="C103" s="337"/>
      <c r="D103" s="337"/>
      <c r="E103" s="337"/>
      <c r="F103" s="337"/>
      <c r="G103" s="337"/>
      <c r="H103" s="337"/>
      <c r="I103" s="337"/>
      <c r="J103" s="337"/>
      <c r="K103" s="337"/>
      <c r="L103" s="337"/>
      <c r="M103" s="337"/>
      <c r="N103" s="337"/>
      <c r="O103" s="337"/>
      <c r="P103" s="337"/>
      <c r="Q103" s="337"/>
      <c r="R103" s="337"/>
      <c r="S103" s="337"/>
      <c r="T103" s="338"/>
      <c r="U103" s="151"/>
      <c r="V103" s="143"/>
      <c r="W103" s="143"/>
      <c r="X103" s="143"/>
      <c r="Y103" s="143"/>
      <c r="Z103" s="143"/>
      <c r="AA103" s="143"/>
      <c r="AB103" s="143"/>
      <c r="AC103" s="143"/>
      <c r="AD103" s="143"/>
      <c r="AE103" s="143"/>
      <c r="AF103" s="143"/>
      <c r="AG103" s="143"/>
      <c r="AH103" s="179"/>
      <c r="AI103" s="179"/>
      <c r="AJ103" s="179"/>
      <c r="AK103" s="179"/>
      <c r="AL103" s="179"/>
      <c r="AM103" s="179"/>
    </row>
    <row r="104" spans="1:39" s="121" customFormat="1" ht="33" customHeight="1" outlineLevel="2" x14ac:dyDescent="0.25">
      <c r="A104" s="323"/>
      <c r="B104" s="280"/>
      <c r="C104" s="280"/>
      <c r="D104" s="280"/>
      <c r="E104" s="280"/>
      <c r="F104" s="280"/>
      <c r="G104" s="280"/>
      <c r="H104" s="280"/>
      <c r="I104" s="280"/>
      <c r="J104" s="280"/>
      <c r="K104" s="280"/>
      <c r="L104" s="280"/>
      <c r="M104" s="280"/>
      <c r="N104" s="280"/>
      <c r="O104" s="280"/>
      <c r="P104" s="280"/>
      <c r="Q104" s="280"/>
      <c r="R104" s="280"/>
      <c r="S104" s="280"/>
      <c r="T104" s="324"/>
      <c r="U104" s="119"/>
      <c r="V104" s="143"/>
      <c r="W104" s="143"/>
      <c r="X104" s="143"/>
      <c r="Y104" s="143"/>
      <c r="Z104" s="143"/>
      <c r="AA104" s="143"/>
      <c r="AB104" s="143"/>
      <c r="AC104" s="143"/>
      <c r="AD104" s="143"/>
      <c r="AE104" s="143"/>
      <c r="AF104" s="143"/>
      <c r="AG104" s="143"/>
      <c r="AH104" s="179"/>
      <c r="AI104" s="179"/>
      <c r="AJ104" s="179"/>
      <c r="AK104" s="179"/>
      <c r="AL104" s="179"/>
      <c r="AM104" s="179"/>
    </row>
    <row r="105" spans="1:39" s="121" customFormat="1" ht="33" customHeight="1" outlineLevel="2" x14ac:dyDescent="0.25">
      <c r="A105" s="361"/>
      <c r="B105" s="280"/>
      <c r="C105" s="280"/>
      <c r="D105" s="280"/>
      <c r="E105" s="280"/>
      <c r="F105" s="280"/>
      <c r="G105" s="280"/>
      <c r="H105" s="280"/>
      <c r="I105" s="280"/>
      <c r="J105" s="280"/>
      <c r="K105" s="280"/>
      <c r="L105" s="280"/>
      <c r="M105" s="280"/>
      <c r="N105" s="280"/>
      <c r="O105" s="280"/>
      <c r="P105" s="280"/>
      <c r="Q105" s="280"/>
      <c r="R105" s="280"/>
      <c r="S105" s="280"/>
      <c r="T105" s="324"/>
      <c r="U105" s="119"/>
      <c r="V105" s="143"/>
      <c r="W105" s="143"/>
      <c r="X105" s="143"/>
      <c r="Y105" s="143"/>
      <c r="Z105" s="143"/>
      <c r="AA105" s="143"/>
      <c r="AB105" s="143"/>
      <c r="AC105" s="143"/>
      <c r="AD105" s="143"/>
      <c r="AE105" s="143"/>
      <c r="AF105" s="143"/>
      <c r="AG105" s="143"/>
      <c r="AH105" s="179"/>
      <c r="AI105" s="179"/>
      <c r="AJ105" s="179"/>
      <c r="AK105" s="179"/>
      <c r="AL105" s="179"/>
      <c r="AM105" s="179"/>
    </row>
    <row r="106" spans="1:39" s="121" customFormat="1" ht="33" customHeight="1" outlineLevel="2" x14ac:dyDescent="0.25">
      <c r="A106" s="361"/>
      <c r="B106" s="280"/>
      <c r="C106" s="280"/>
      <c r="D106" s="280"/>
      <c r="E106" s="280"/>
      <c r="F106" s="280"/>
      <c r="G106" s="280"/>
      <c r="H106" s="280"/>
      <c r="I106" s="280"/>
      <c r="J106" s="280"/>
      <c r="K106" s="280"/>
      <c r="L106" s="280"/>
      <c r="M106" s="280"/>
      <c r="N106" s="280"/>
      <c r="O106" s="280"/>
      <c r="P106" s="280"/>
      <c r="Q106" s="280"/>
      <c r="R106" s="280"/>
      <c r="S106" s="280"/>
      <c r="T106" s="324"/>
      <c r="U106" s="119"/>
      <c r="V106" s="143"/>
      <c r="W106" s="143"/>
      <c r="X106" s="143"/>
      <c r="Y106" s="143"/>
      <c r="Z106" s="143"/>
      <c r="AA106" s="143"/>
      <c r="AB106" s="143"/>
      <c r="AC106" s="143"/>
      <c r="AD106" s="143"/>
      <c r="AE106" s="143"/>
      <c r="AF106" s="143"/>
      <c r="AG106" s="143"/>
      <c r="AH106" s="179"/>
      <c r="AI106" s="179"/>
      <c r="AJ106" s="179"/>
      <c r="AK106" s="179"/>
      <c r="AL106" s="179"/>
      <c r="AM106" s="179"/>
    </row>
    <row r="107" spans="1:39" s="121" customFormat="1" ht="33" customHeight="1" outlineLevel="2" x14ac:dyDescent="0.2">
      <c r="A107" s="137"/>
      <c r="B107" s="138"/>
      <c r="C107" s="313"/>
      <c r="D107" s="362"/>
      <c r="E107" s="363"/>
      <c r="F107" s="362"/>
      <c r="G107" s="362"/>
      <c r="H107" s="364"/>
      <c r="I107" s="280"/>
      <c r="J107" s="280"/>
      <c r="K107" s="275"/>
      <c r="L107" s="313"/>
      <c r="M107" s="313"/>
      <c r="N107" s="313"/>
      <c r="O107" s="313"/>
      <c r="P107" s="313"/>
      <c r="Q107" s="313"/>
      <c r="R107" s="313"/>
      <c r="S107" s="308"/>
      <c r="T107" s="324"/>
      <c r="U107" s="143"/>
      <c r="V107" s="143"/>
      <c r="W107" s="143"/>
      <c r="X107" s="143"/>
      <c r="Y107" s="143"/>
      <c r="Z107" s="143"/>
      <c r="AA107" s="143"/>
      <c r="AB107" s="143"/>
      <c r="AC107" s="143"/>
      <c r="AD107" s="143"/>
      <c r="AE107" s="143"/>
      <c r="AF107" s="143"/>
      <c r="AG107" s="143"/>
      <c r="AH107" s="179"/>
      <c r="AI107" s="179"/>
      <c r="AJ107" s="179"/>
      <c r="AK107" s="179"/>
      <c r="AL107" s="179"/>
      <c r="AM107" s="179"/>
    </row>
    <row r="108" spans="1:39" s="121" customFormat="1" ht="23.25" x14ac:dyDescent="0.2">
      <c r="A108" s="137"/>
      <c r="B108" s="281" t="str">
        <f>+IF(A95="Información de tarjeta de credito", "Fecha", " ")</f>
        <v>Fecha</v>
      </c>
      <c r="C108" s="322"/>
      <c r="D108" s="322"/>
      <c r="E108" s="322"/>
      <c r="F108" s="322"/>
      <c r="G108" s="322"/>
      <c r="H108" s="361"/>
      <c r="I108" s="280"/>
      <c r="J108" s="280"/>
      <c r="K108" s="281" t="str">
        <f>+IF(A95="Información de tarjeta de credito", "Firma del tarjetahabiente", " ")</f>
        <v>Firma del tarjetahabiente</v>
      </c>
      <c r="L108" s="322"/>
      <c r="M108" s="322"/>
      <c r="N108" s="322"/>
      <c r="O108" s="322"/>
      <c r="P108" s="322"/>
      <c r="Q108" s="322"/>
      <c r="R108" s="322"/>
      <c r="S108" s="280"/>
      <c r="T108" s="324"/>
      <c r="U108" s="143"/>
      <c r="V108" s="143"/>
      <c r="W108" s="143"/>
      <c r="X108" s="143"/>
      <c r="Y108" s="143"/>
      <c r="Z108" s="143"/>
      <c r="AA108" s="143"/>
      <c r="AB108" s="143"/>
      <c r="AC108" s="143"/>
      <c r="AD108" s="143"/>
      <c r="AE108" s="143"/>
      <c r="AF108" s="143"/>
      <c r="AG108" s="143"/>
      <c r="AH108" s="179"/>
      <c r="AI108" s="179"/>
      <c r="AJ108" s="179"/>
      <c r="AK108" s="179"/>
      <c r="AL108" s="179"/>
      <c r="AM108" s="179"/>
    </row>
    <row r="109" spans="1:39" s="121" customFormat="1" ht="21.75" customHeight="1" x14ac:dyDescent="0.25">
      <c r="A109" s="323"/>
      <c r="B109" s="280"/>
      <c r="C109" s="280"/>
      <c r="D109" s="280"/>
      <c r="E109" s="280"/>
      <c r="F109" s="280"/>
      <c r="G109" s="280"/>
      <c r="H109" s="280"/>
      <c r="I109" s="280"/>
      <c r="J109" s="280"/>
      <c r="K109" s="280"/>
      <c r="L109" s="280"/>
      <c r="M109" s="280"/>
      <c r="N109" s="280"/>
      <c r="O109" s="280"/>
      <c r="P109" s="280"/>
      <c r="Q109" s="280"/>
      <c r="R109" s="280"/>
      <c r="S109" s="280"/>
      <c r="T109" s="324"/>
      <c r="U109" s="143"/>
      <c r="V109" s="143"/>
      <c r="W109" s="143"/>
      <c r="X109" s="143"/>
      <c r="Y109" s="143"/>
      <c r="Z109" s="143"/>
      <c r="AA109" s="143"/>
      <c r="AB109" s="143"/>
      <c r="AC109" s="143"/>
      <c r="AD109" s="143"/>
      <c r="AE109" s="143"/>
      <c r="AF109" s="143"/>
      <c r="AG109" s="143"/>
      <c r="AH109" s="179"/>
      <c r="AI109" s="179"/>
      <c r="AJ109" s="179"/>
      <c r="AK109" s="179"/>
      <c r="AL109" s="179"/>
      <c r="AM109" s="179"/>
    </row>
    <row r="110" spans="1:39" s="121" customFormat="1" ht="42" customHeight="1" x14ac:dyDescent="0.3">
      <c r="A110" s="325" t="s">
        <v>1893</v>
      </c>
      <c r="B110" s="326"/>
      <c r="C110" s="326"/>
      <c r="D110" s="326"/>
      <c r="E110" s="326"/>
      <c r="F110" s="326"/>
      <c r="G110" s="326"/>
      <c r="H110" s="326"/>
      <c r="I110" s="326"/>
      <c r="J110" s="326"/>
      <c r="K110" s="326"/>
      <c r="L110" s="326"/>
      <c r="M110" s="326"/>
      <c r="N110" s="326"/>
      <c r="O110" s="326"/>
      <c r="P110" s="326"/>
      <c r="Q110" s="326"/>
      <c r="R110" s="326"/>
      <c r="S110" s="326"/>
      <c r="T110" s="327"/>
      <c r="U110" s="151"/>
      <c r="V110" s="143"/>
      <c r="W110" s="143"/>
      <c r="X110" s="143"/>
      <c r="Y110" s="143"/>
      <c r="Z110" s="143"/>
      <c r="AA110" s="143"/>
      <c r="AB110" s="143"/>
      <c r="AC110" s="143"/>
      <c r="AD110" s="143"/>
      <c r="AE110" s="143"/>
      <c r="AF110" s="143"/>
      <c r="AG110" s="143"/>
      <c r="AH110" s="179"/>
      <c r="AI110" s="179"/>
      <c r="AJ110" s="179"/>
      <c r="AK110" s="179"/>
      <c r="AL110" s="179"/>
      <c r="AM110" s="179"/>
    </row>
    <row r="111" spans="1:39" s="121" customFormat="1" ht="42" customHeight="1" x14ac:dyDescent="0.3">
      <c r="A111" s="339" t="s">
        <v>2007</v>
      </c>
      <c r="B111" s="340"/>
      <c r="C111" s="340"/>
      <c r="D111" s="340"/>
      <c r="E111" s="340"/>
      <c r="F111" s="340"/>
      <c r="G111" s="340"/>
      <c r="H111" s="340"/>
      <c r="I111" s="340"/>
      <c r="J111" s="340"/>
      <c r="K111" s="340"/>
      <c r="L111" s="340"/>
      <c r="M111" s="340"/>
      <c r="N111" s="340"/>
      <c r="O111" s="340"/>
      <c r="P111" s="340"/>
      <c r="Q111" s="340"/>
      <c r="R111" s="340"/>
      <c r="S111" s="340"/>
      <c r="T111" s="341"/>
      <c r="U111" s="151"/>
      <c r="V111" s="143"/>
      <c r="W111" s="143"/>
      <c r="X111" s="143"/>
      <c r="Y111" s="143"/>
      <c r="Z111" s="143"/>
      <c r="AA111" s="143"/>
      <c r="AB111" s="143"/>
      <c r="AC111" s="143"/>
      <c r="AD111" s="143"/>
      <c r="AE111" s="143"/>
      <c r="AF111" s="143"/>
      <c r="AG111" s="143"/>
      <c r="AH111" s="179"/>
      <c r="AI111" s="179"/>
      <c r="AJ111" s="179"/>
      <c r="AK111" s="179"/>
      <c r="AL111" s="179"/>
      <c r="AM111" s="179"/>
    </row>
    <row r="112" spans="1:39" s="162" customFormat="1" ht="28.5" customHeight="1" x14ac:dyDescent="0.25">
      <c r="A112" s="328" t="s">
        <v>2005</v>
      </c>
      <c r="B112" s="329"/>
      <c r="C112" s="329"/>
      <c r="D112" s="329"/>
      <c r="E112" s="329"/>
      <c r="F112" s="329"/>
      <c r="G112" s="329"/>
      <c r="H112" s="329"/>
      <c r="I112" s="329"/>
      <c r="J112" s="329"/>
      <c r="K112" s="329"/>
      <c r="L112" s="329"/>
      <c r="M112" s="329"/>
      <c r="N112" s="329"/>
      <c r="O112" s="329"/>
      <c r="P112" s="329"/>
      <c r="Q112" s="329"/>
      <c r="R112" s="329"/>
      <c r="S112" s="329"/>
      <c r="T112" s="330"/>
      <c r="U112" s="150"/>
      <c r="V112" s="161"/>
      <c r="W112" s="161"/>
      <c r="X112" s="161"/>
      <c r="Y112" s="161"/>
      <c r="Z112" s="161"/>
      <c r="AA112" s="161"/>
      <c r="AB112" s="161"/>
      <c r="AC112" s="161"/>
      <c r="AD112" s="161"/>
      <c r="AE112" s="161"/>
      <c r="AF112" s="161"/>
      <c r="AG112" s="161"/>
      <c r="AH112" s="213"/>
      <c r="AI112" s="213"/>
      <c r="AJ112" s="213"/>
      <c r="AK112" s="213"/>
      <c r="AL112" s="213"/>
      <c r="AM112" s="213"/>
    </row>
    <row r="113" spans="1:39" s="121" customFormat="1" ht="63" customHeight="1" x14ac:dyDescent="0.2">
      <c r="A113" s="331" t="s">
        <v>1890</v>
      </c>
      <c r="B113" s="332"/>
      <c r="C113" s="332"/>
      <c r="D113" s="332"/>
      <c r="E113" s="332"/>
      <c r="F113" s="332"/>
      <c r="G113" s="332"/>
      <c r="H113" s="332"/>
      <c r="I113" s="332"/>
      <c r="J113" s="332"/>
      <c r="K113" s="332"/>
      <c r="L113" s="332"/>
      <c r="M113" s="332"/>
      <c r="N113" s="332"/>
      <c r="O113" s="332"/>
      <c r="P113" s="332"/>
      <c r="Q113" s="332"/>
      <c r="R113" s="332"/>
      <c r="S113" s="332"/>
      <c r="T113" s="333"/>
      <c r="U113" s="152"/>
      <c r="V113" s="143"/>
      <c r="W113" s="143"/>
      <c r="X113" s="143"/>
      <c r="Y113" s="143"/>
      <c r="Z113" s="143"/>
      <c r="AA113" s="143"/>
      <c r="AB113" s="143"/>
      <c r="AC113" s="143"/>
      <c r="AD113" s="143"/>
      <c r="AE113" s="143"/>
      <c r="AF113" s="143"/>
      <c r="AG113" s="143"/>
      <c r="AH113" s="179"/>
      <c r="AI113" s="179"/>
      <c r="AJ113" s="179"/>
      <c r="AK113" s="179"/>
      <c r="AL113" s="179"/>
      <c r="AM113" s="179"/>
    </row>
    <row r="114" spans="1:39" s="121" customFormat="1" ht="43.5" customHeight="1" x14ac:dyDescent="0.2">
      <c r="A114" s="334"/>
      <c r="B114" s="332"/>
      <c r="C114" s="332"/>
      <c r="D114" s="332"/>
      <c r="E114" s="332"/>
      <c r="F114" s="332"/>
      <c r="G114" s="332"/>
      <c r="H114" s="332"/>
      <c r="I114" s="332"/>
      <c r="J114" s="332"/>
      <c r="K114" s="332"/>
      <c r="L114" s="332"/>
      <c r="M114" s="332"/>
      <c r="N114" s="332"/>
      <c r="O114" s="332"/>
      <c r="P114" s="332"/>
      <c r="Q114" s="332"/>
      <c r="R114" s="332"/>
      <c r="S114" s="332"/>
      <c r="T114" s="333"/>
      <c r="U114" s="152"/>
      <c r="V114" s="143"/>
      <c r="W114" s="143"/>
      <c r="X114" s="143"/>
      <c r="Y114" s="143"/>
      <c r="Z114" s="143"/>
      <c r="AA114" s="143"/>
      <c r="AB114" s="143"/>
      <c r="AC114" s="143"/>
      <c r="AD114" s="143"/>
      <c r="AE114" s="143"/>
      <c r="AF114" s="143"/>
      <c r="AG114" s="143"/>
      <c r="AH114" s="179"/>
      <c r="AI114" s="179"/>
      <c r="AJ114" s="179"/>
      <c r="AK114" s="179"/>
      <c r="AL114" s="179"/>
      <c r="AM114" s="179"/>
    </row>
    <row r="115" spans="1:39" s="121" customFormat="1" ht="33.75" customHeight="1" x14ac:dyDescent="0.2">
      <c r="A115" s="334"/>
      <c r="B115" s="332"/>
      <c r="C115" s="332"/>
      <c r="D115" s="332"/>
      <c r="E115" s="332"/>
      <c r="F115" s="332"/>
      <c r="G115" s="332"/>
      <c r="H115" s="332"/>
      <c r="I115" s="332"/>
      <c r="J115" s="332"/>
      <c r="K115" s="332"/>
      <c r="L115" s="332"/>
      <c r="M115" s="332"/>
      <c r="N115" s="332"/>
      <c r="O115" s="332"/>
      <c r="P115" s="332"/>
      <c r="Q115" s="332"/>
      <c r="R115" s="332"/>
      <c r="S115" s="332"/>
      <c r="T115" s="333"/>
      <c r="U115" s="152"/>
      <c r="V115" s="143"/>
      <c r="W115" s="143"/>
      <c r="X115" s="143"/>
      <c r="Y115" s="143"/>
      <c r="Z115" s="143"/>
      <c r="AA115" s="143"/>
      <c r="AB115" s="143"/>
      <c r="AC115" s="143"/>
      <c r="AD115" s="143"/>
      <c r="AE115" s="143"/>
      <c r="AF115" s="143"/>
      <c r="AG115" s="143"/>
      <c r="AH115" s="179"/>
      <c r="AI115" s="179"/>
      <c r="AJ115" s="179"/>
      <c r="AK115" s="179"/>
      <c r="AL115" s="179"/>
      <c r="AM115" s="179"/>
    </row>
    <row r="116" spans="1:39" s="121" customFormat="1" ht="47.25" customHeight="1" x14ac:dyDescent="0.2">
      <c r="A116" s="328" t="s">
        <v>2006</v>
      </c>
      <c r="B116" s="329"/>
      <c r="C116" s="329"/>
      <c r="D116" s="329"/>
      <c r="E116" s="329"/>
      <c r="F116" s="329"/>
      <c r="G116" s="329"/>
      <c r="H116" s="329"/>
      <c r="I116" s="329"/>
      <c r="J116" s="329"/>
      <c r="K116" s="329"/>
      <c r="L116" s="329"/>
      <c r="M116" s="329"/>
      <c r="N116" s="329"/>
      <c r="O116" s="329"/>
      <c r="P116" s="329"/>
      <c r="Q116" s="329"/>
      <c r="R116" s="329"/>
      <c r="S116" s="329"/>
      <c r="T116" s="330"/>
      <c r="U116" s="150"/>
      <c r="V116" s="143"/>
      <c r="W116" s="143"/>
      <c r="X116" s="143"/>
      <c r="Y116" s="143"/>
      <c r="Z116" s="143"/>
      <c r="AA116" s="143"/>
      <c r="AB116" s="143"/>
      <c r="AC116" s="143"/>
      <c r="AD116" s="143"/>
      <c r="AE116" s="143"/>
      <c r="AF116" s="143"/>
      <c r="AG116" s="143"/>
      <c r="AH116" s="179"/>
      <c r="AI116" s="179"/>
      <c r="AJ116" s="179"/>
      <c r="AK116" s="179"/>
      <c r="AL116" s="179"/>
      <c r="AM116" s="179"/>
    </row>
    <row r="117" spans="1:39" s="121" customFormat="1" ht="39" customHeight="1" x14ac:dyDescent="0.2">
      <c r="A117" s="335"/>
      <c r="B117" s="329"/>
      <c r="C117" s="329"/>
      <c r="D117" s="329"/>
      <c r="E117" s="329"/>
      <c r="F117" s="329"/>
      <c r="G117" s="329"/>
      <c r="H117" s="329"/>
      <c r="I117" s="329"/>
      <c r="J117" s="329"/>
      <c r="K117" s="329"/>
      <c r="L117" s="329"/>
      <c r="M117" s="329"/>
      <c r="N117" s="329"/>
      <c r="O117" s="329"/>
      <c r="P117" s="329"/>
      <c r="Q117" s="329"/>
      <c r="R117" s="329"/>
      <c r="S117" s="329"/>
      <c r="T117" s="330"/>
      <c r="U117" s="150"/>
      <c r="V117" s="143"/>
      <c r="W117" s="143"/>
      <c r="X117" s="143"/>
      <c r="Y117" s="143"/>
      <c r="Z117" s="143"/>
      <c r="AA117" s="143"/>
      <c r="AB117" s="143"/>
      <c r="AC117" s="143"/>
      <c r="AD117" s="143"/>
      <c r="AE117" s="143"/>
      <c r="AF117" s="143"/>
      <c r="AG117" s="143"/>
      <c r="AH117" s="179"/>
      <c r="AI117" s="179"/>
      <c r="AJ117" s="179"/>
      <c r="AK117" s="179"/>
      <c r="AL117" s="179"/>
      <c r="AM117" s="179"/>
    </row>
    <row r="118" spans="1:39" s="121" customFormat="1" ht="63.75" customHeight="1" x14ac:dyDescent="0.2">
      <c r="A118" s="336" t="s">
        <v>1576</v>
      </c>
      <c r="B118" s="337"/>
      <c r="C118" s="337"/>
      <c r="D118" s="337"/>
      <c r="E118" s="337"/>
      <c r="F118" s="337"/>
      <c r="G118" s="337"/>
      <c r="H118" s="337"/>
      <c r="I118" s="337"/>
      <c r="J118" s="337"/>
      <c r="K118" s="337"/>
      <c r="L118" s="337"/>
      <c r="M118" s="337"/>
      <c r="N118" s="337"/>
      <c r="O118" s="337"/>
      <c r="P118" s="337"/>
      <c r="Q118" s="337"/>
      <c r="R118" s="337"/>
      <c r="S118" s="337"/>
      <c r="T118" s="338"/>
      <c r="U118" s="150"/>
      <c r="V118" s="143"/>
      <c r="W118" s="143"/>
      <c r="X118" s="143"/>
      <c r="Y118" s="143"/>
      <c r="Z118" s="143"/>
      <c r="AA118" s="143"/>
      <c r="AB118" s="143"/>
      <c r="AC118" s="143"/>
      <c r="AD118" s="143"/>
      <c r="AE118" s="143"/>
      <c r="AF118" s="143"/>
      <c r="AG118" s="143"/>
      <c r="AH118" s="179"/>
      <c r="AI118" s="179"/>
      <c r="AJ118" s="179"/>
      <c r="AK118" s="179"/>
      <c r="AL118" s="179"/>
      <c r="AM118" s="179"/>
    </row>
    <row r="119" spans="1:39" s="121" customFormat="1" ht="27.75" customHeight="1" x14ac:dyDescent="0.2">
      <c r="A119" s="342" t="s">
        <v>2008</v>
      </c>
      <c r="B119" s="343"/>
      <c r="C119" s="139" t="s">
        <v>0</v>
      </c>
      <c r="D119" s="344"/>
      <c r="E119" s="317"/>
      <c r="F119" s="317"/>
      <c r="G119" s="317"/>
      <c r="H119" s="317"/>
      <c r="I119" s="290" t="str">
        <f>_xlfn.IFS(D119="directo", "Sucursal", D119="Corredor", "Codigo de Corredor",D119="bancaseguros", " ", D119=ISBLANK(" "), "Sucursal")</f>
        <v>Sucursal</v>
      </c>
      <c r="J119" s="345"/>
      <c r="K119" s="345"/>
      <c r="L119" s="346"/>
      <c r="M119" s="136" t="str">
        <f>+_xlfn.IFS(I119="Codigo de Corredor", "*", I119="Sucursal", " ", I119=(" "), " ", I119="Bancaseguros", " ")</f>
        <v xml:space="preserve"> </v>
      </c>
      <c r="N119" s="316"/>
      <c r="O119" s="317"/>
      <c r="P119" s="317"/>
      <c r="Q119" s="317"/>
      <c r="R119" s="317"/>
      <c r="S119" s="317"/>
      <c r="T119" s="347"/>
      <c r="U119" s="143"/>
      <c r="V119" s="143"/>
      <c r="W119" s="143"/>
      <c r="X119" s="143"/>
      <c r="Y119" s="143"/>
      <c r="Z119" s="143"/>
      <c r="AA119" s="143"/>
      <c r="AB119" s="143"/>
      <c r="AC119" s="143"/>
      <c r="AD119" s="143"/>
      <c r="AE119" s="143"/>
      <c r="AF119" s="143"/>
      <c r="AG119" s="143"/>
      <c r="AH119" s="179"/>
      <c r="AI119" s="179"/>
      <c r="AJ119" s="179"/>
      <c r="AK119" s="179"/>
      <c r="AL119" s="179"/>
      <c r="AM119" s="179"/>
    </row>
    <row r="120" spans="1:39" s="121" customFormat="1" ht="27.75" customHeight="1" x14ac:dyDescent="0.25">
      <c r="A120" s="240" t="str">
        <f>+_xlfn.IFS(OR(D119="directo", D119="Bancaseguros"), "Ejecutivo", D119="Corredor", "Licencia", D119="Bancaseguros", " ", D119=ISBLANK( " "), "Ejecutivo")</f>
        <v>Ejecutivo</v>
      </c>
      <c r="B120" s="241"/>
      <c r="C120" s="136" t="str">
        <f>+_xlfn.IFS(A120="licencia", "*", A120="ejecutivo", " ", A120=(" "), " ")</f>
        <v xml:space="preserve"> </v>
      </c>
      <c r="D120" s="316"/>
      <c r="E120" s="317"/>
      <c r="F120" s="317"/>
      <c r="G120" s="317"/>
      <c r="H120" s="317"/>
      <c r="I120" s="318"/>
      <c r="J120" s="318"/>
      <c r="K120" s="318"/>
      <c r="L120" s="318"/>
      <c r="M120" s="319"/>
      <c r="N120" s="280"/>
      <c r="O120" s="280"/>
      <c r="P120" s="280"/>
      <c r="Q120" s="280"/>
      <c r="R120" s="280"/>
      <c r="S120" s="280"/>
      <c r="T120" s="280"/>
      <c r="U120" s="119"/>
      <c r="V120" s="143"/>
      <c r="W120" s="143"/>
      <c r="X120" s="143"/>
      <c r="Y120" s="143"/>
      <c r="Z120" s="143"/>
      <c r="AA120" s="143"/>
      <c r="AB120" s="143"/>
      <c r="AC120" s="143"/>
      <c r="AD120" s="143"/>
      <c r="AE120" s="143"/>
      <c r="AF120" s="143"/>
      <c r="AG120" s="143"/>
      <c r="AH120" s="179"/>
      <c r="AI120" s="179"/>
      <c r="AJ120" s="179"/>
      <c r="AK120" s="179"/>
      <c r="AL120" s="179"/>
      <c r="AM120" s="179"/>
    </row>
    <row r="121" spans="1:39" s="121" customFormat="1" x14ac:dyDescent="0.25">
      <c r="A121" s="320"/>
      <c r="B121" s="320"/>
      <c r="C121" s="320"/>
      <c r="D121" s="320"/>
      <c r="E121" s="320"/>
      <c r="F121" s="320"/>
      <c r="G121" s="320"/>
      <c r="H121" s="320"/>
      <c r="I121" s="320"/>
      <c r="J121" s="320"/>
      <c r="K121" s="320"/>
      <c r="L121" s="320"/>
      <c r="M121" s="321"/>
      <c r="N121" s="280"/>
      <c r="O121" s="280"/>
      <c r="P121" s="280"/>
      <c r="Q121" s="280"/>
      <c r="R121" s="280"/>
      <c r="S121" s="280"/>
      <c r="T121" s="280"/>
      <c r="U121" s="119"/>
      <c r="V121" s="143"/>
      <c r="W121" s="143"/>
      <c r="X121" s="143"/>
      <c r="Y121" s="143"/>
      <c r="Z121" s="143"/>
      <c r="AA121" s="143"/>
      <c r="AB121" s="143"/>
      <c r="AC121" s="143"/>
      <c r="AD121" s="143"/>
      <c r="AE121" s="143"/>
      <c r="AF121" s="143"/>
      <c r="AG121" s="143"/>
      <c r="AH121" s="179"/>
      <c r="AI121" s="179"/>
      <c r="AJ121" s="179"/>
      <c r="AK121" s="179"/>
      <c r="AL121" s="179"/>
      <c r="AM121" s="179"/>
    </row>
    <row r="122" spans="1:39" s="121" customFormat="1" x14ac:dyDescent="0.25">
      <c r="A122" s="8"/>
      <c r="B122" s="8"/>
      <c r="C122" s="8"/>
      <c r="D122" s="8"/>
      <c r="E122" s="8"/>
      <c r="F122" s="8"/>
      <c r="G122" s="8"/>
      <c r="H122" s="8"/>
      <c r="I122" s="8"/>
      <c r="J122" s="8"/>
      <c r="K122" s="8"/>
      <c r="L122" s="8"/>
      <c r="M122" s="8"/>
      <c r="N122" s="278"/>
      <c r="O122" s="278"/>
      <c r="P122" s="278"/>
      <c r="Q122" s="278"/>
      <c r="R122" s="278"/>
      <c r="S122" s="278"/>
      <c r="T122" s="278"/>
      <c r="U122" s="119"/>
      <c r="V122" s="143"/>
      <c r="W122" s="143"/>
      <c r="X122" s="143"/>
      <c r="Y122" s="143"/>
      <c r="Z122" s="143"/>
      <c r="AA122" s="143"/>
      <c r="AB122" s="143"/>
      <c r="AC122" s="143"/>
      <c r="AD122" s="143"/>
      <c r="AE122" s="143"/>
      <c r="AF122" s="143"/>
      <c r="AG122" s="143"/>
      <c r="AH122" s="179"/>
      <c r="AI122" s="179"/>
      <c r="AJ122" s="179"/>
      <c r="AK122" s="179"/>
      <c r="AL122" s="179"/>
      <c r="AM122" s="179"/>
    </row>
    <row r="123" spans="1:39" s="121" customFormat="1" x14ac:dyDescent="0.25">
      <c r="A123" s="8"/>
      <c r="B123" s="8"/>
      <c r="C123" s="8"/>
      <c r="D123" s="8"/>
      <c r="E123" s="8"/>
      <c r="F123" s="8"/>
      <c r="G123" s="8"/>
      <c r="H123" s="8"/>
      <c r="I123" s="8"/>
      <c r="J123" s="8"/>
      <c r="K123" s="8"/>
      <c r="L123" s="8"/>
      <c r="M123" s="8"/>
      <c r="N123" s="280"/>
      <c r="O123" s="280"/>
      <c r="P123" s="280"/>
      <c r="Q123" s="280"/>
      <c r="R123" s="280"/>
      <c r="S123" s="280"/>
      <c r="T123" s="280"/>
      <c r="U123" s="119"/>
      <c r="V123" s="143"/>
      <c r="W123" s="143"/>
      <c r="X123" s="143"/>
      <c r="Y123" s="143"/>
      <c r="Z123" s="143"/>
      <c r="AA123" s="143"/>
      <c r="AB123" s="143"/>
      <c r="AC123" s="143"/>
      <c r="AD123" s="143"/>
      <c r="AE123" s="143"/>
      <c r="AF123" s="143"/>
      <c r="AG123" s="143"/>
      <c r="AH123" s="179"/>
      <c r="AI123" s="179"/>
      <c r="AJ123" s="179"/>
      <c r="AK123" s="179"/>
      <c r="AL123" s="179"/>
      <c r="AM123" s="179"/>
    </row>
    <row r="124" spans="1:39" s="121" customFormat="1" x14ac:dyDescent="0.25">
      <c r="A124" s="8"/>
      <c r="B124" s="8"/>
      <c r="C124" s="8"/>
      <c r="D124" s="8"/>
      <c r="E124" s="8"/>
      <c r="F124" s="8"/>
      <c r="G124" s="8"/>
      <c r="H124" s="8"/>
      <c r="I124" s="8"/>
      <c r="J124" s="8"/>
      <c r="K124" s="8"/>
      <c r="L124" s="8"/>
      <c r="M124" s="8"/>
      <c r="N124" s="280"/>
      <c r="O124" s="280"/>
      <c r="P124" s="280"/>
      <c r="Q124" s="280"/>
      <c r="R124" s="280"/>
      <c r="S124" s="280"/>
      <c r="T124" s="280"/>
      <c r="U124" s="119"/>
      <c r="V124" s="143"/>
      <c r="W124" s="143"/>
      <c r="X124" s="143"/>
      <c r="Y124" s="143"/>
      <c r="Z124" s="143"/>
      <c r="AA124" s="143"/>
      <c r="AB124" s="143"/>
      <c r="AC124" s="143"/>
      <c r="AD124" s="143"/>
      <c r="AE124" s="143"/>
      <c r="AF124" s="143"/>
      <c r="AG124" s="143"/>
      <c r="AH124" s="179"/>
      <c r="AI124" s="179"/>
      <c r="AJ124" s="179"/>
      <c r="AK124" s="179"/>
      <c r="AL124" s="179"/>
      <c r="AM124" s="179"/>
    </row>
    <row r="125" spans="1:39" s="121" customFormat="1" x14ac:dyDescent="0.25">
      <c r="A125" s="280"/>
      <c r="B125" s="280"/>
      <c r="C125" s="280"/>
      <c r="D125" s="280"/>
      <c r="E125" s="280"/>
      <c r="F125" s="280"/>
      <c r="G125" s="280"/>
      <c r="H125" s="280"/>
      <c r="I125" s="280"/>
      <c r="J125" s="280"/>
      <c r="K125" s="312"/>
      <c r="L125" s="312"/>
      <c r="M125" s="312"/>
      <c r="N125" s="312"/>
      <c r="O125" s="312"/>
      <c r="P125" s="312"/>
      <c r="Q125" s="312"/>
      <c r="R125" s="312"/>
      <c r="S125" s="312"/>
      <c r="T125" s="312"/>
      <c r="U125" s="119"/>
      <c r="V125" s="143"/>
      <c r="W125" s="143"/>
      <c r="X125" s="143"/>
      <c r="Y125" s="143"/>
      <c r="Z125" s="143"/>
      <c r="AA125" s="143"/>
      <c r="AB125" s="143"/>
      <c r="AC125" s="143"/>
      <c r="AD125" s="143"/>
      <c r="AE125" s="143"/>
      <c r="AF125" s="143"/>
      <c r="AG125" s="143"/>
      <c r="AH125" s="179"/>
      <c r="AI125" s="179"/>
      <c r="AJ125" s="179"/>
      <c r="AK125" s="179"/>
      <c r="AL125" s="179"/>
      <c r="AM125" s="179"/>
    </row>
    <row r="126" spans="1:39" s="121" customFormat="1" x14ac:dyDescent="0.25">
      <c r="A126" s="280"/>
      <c r="B126" s="280"/>
      <c r="C126" s="280"/>
      <c r="D126" s="280"/>
      <c r="E126" s="280"/>
      <c r="F126" s="280"/>
      <c r="G126" s="280"/>
      <c r="H126" s="280"/>
      <c r="I126" s="280"/>
      <c r="J126" s="280"/>
      <c r="K126" s="312"/>
      <c r="L126" s="312"/>
      <c r="M126" s="312"/>
      <c r="N126" s="312"/>
      <c r="O126" s="312"/>
      <c r="P126" s="312"/>
      <c r="Q126" s="312"/>
      <c r="R126" s="312"/>
      <c r="S126" s="312"/>
      <c r="T126" s="312"/>
      <c r="U126" s="119"/>
      <c r="V126" s="143"/>
      <c r="W126" s="143"/>
      <c r="X126" s="143"/>
      <c r="Y126" s="143"/>
      <c r="Z126" s="143"/>
      <c r="AA126" s="143"/>
      <c r="AB126" s="143"/>
      <c r="AC126" s="143"/>
      <c r="AD126" s="143"/>
      <c r="AE126" s="143"/>
      <c r="AF126" s="143"/>
      <c r="AG126" s="143"/>
      <c r="AH126" s="179"/>
      <c r="AI126" s="179"/>
      <c r="AJ126" s="179"/>
      <c r="AK126" s="179"/>
      <c r="AL126" s="179"/>
      <c r="AM126" s="179"/>
    </row>
    <row r="127" spans="1:39" s="121" customFormat="1" x14ac:dyDescent="0.25">
      <c r="A127" s="280"/>
      <c r="B127" s="280"/>
      <c r="C127" s="280"/>
      <c r="D127" s="280"/>
      <c r="E127" s="280"/>
      <c r="F127" s="280"/>
      <c r="G127" s="280"/>
      <c r="H127" s="280"/>
      <c r="I127" s="280"/>
      <c r="J127" s="280"/>
      <c r="K127" s="274"/>
      <c r="L127" s="309"/>
      <c r="M127" s="309"/>
      <c r="N127" s="309"/>
      <c r="O127" s="309"/>
      <c r="P127" s="309"/>
      <c r="Q127" s="309"/>
      <c r="R127" s="309"/>
      <c r="S127" s="309"/>
      <c r="T127" s="120"/>
      <c r="U127" s="119"/>
      <c r="V127" s="143"/>
      <c r="W127" s="143"/>
      <c r="X127" s="143"/>
      <c r="Y127" s="143"/>
      <c r="Z127" s="143"/>
      <c r="AA127" s="143"/>
      <c r="AB127" s="143"/>
      <c r="AC127" s="143"/>
      <c r="AD127" s="143"/>
      <c r="AE127" s="143"/>
      <c r="AF127" s="143"/>
      <c r="AG127" s="143"/>
      <c r="AH127" s="179"/>
      <c r="AI127" s="179"/>
      <c r="AJ127" s="179"/>
      <c r="AK127" s="179"/>
      <c r="AL127" s="179"/>
      <c r="AM127" s="179"/>
    </row>
    <row r="128" spans="1:39" s="121" customFormat="1" x14ac:dyDescent="0.25">
      <c r="A128" s="280"/>
      <c r="B128" s="280"/>
      <c r="C128" s="280"/>
      <c r="D128" s="280"/>
      <c r="E128" s="280"/>
      <c r="F128" s="280"/>
      <c r="G128" s="280"/>
      <c r="H128" s="280"/>
      <c r="I128" s="280"/>
      <c r="J128" s="280"/>
      <c r="K128" s="313"/>
      <c r="L128" s="313"/>
      <c r="M128" s="313"/>
      <c r="N128" s="313"/>
      <c r="O128" s="313"/>
      <c r="P128" s="313"/>
      <c r="Q128" s="313"/>
      <c r="R128" s="313"/>
      <c r="S128" s="313"/>
      <c r="T128" s="8"/>
      <c r="U128" s="119"/>
      <c r="V128" s="143"/>
      <c r="W128" s="143"/>
      <c r="X128" s="143"/>
      <c r="Y128" s="143"/>
      <c r="Z128" s="143"/>
      <c r="AA128" s="143"/>
      <c r="AB128" s="143"/>
      <c r="AC128" s="143"/>
      <c r="AD128" s="143"/>
      <c r="AE128" s="143"/>
      <c r="AF128" s="143"/>
      <c r="AG128" s="143"/>
      <c r="AH128" s="179"/>
      <c r="AI128" s="179"/>
      <c r="AJ128" s="179"/>
      <c r="AK128" s="179"/>
      <c r="AL128" s="179"/>
      <c r="AM128" s="179"/>
    </row>
    <row r="129" spans="1:39" s="121" customFormat="1" ht="23.25" x14ac:dyDescent="0.25">
      <c r="A129" s="280"/>
      <c r="B129" s="280"/>
      <c r="C129" s="280"/>
      <c r="D129" s="280"/>
      <c r="E129" s="280"/>
      <c r="F129" s="280"/>
      <c r="G129" s="280"/>
      <c r="H129" s="280"/>
      <c r="I129" s="280"/>
      <c r="J129" s="280"/>
      <c r="K129" s="281" t="str">
        <f>+_xlfn.IFS(D119="Corredor", " ", OR(D119="Directo", D119="Bancaseguros"), "Firma del Ejecutivo", D119=ISBLANK(" "), "Firma del Ejecutivo ")</f>
        <v xml:space="preserve">Firma del Ejecutivo </v>
      </c>
      <c r="L129" s="322"/>
      <c r="M129" s="322"/>
      <c r="N129" s="322"/>
      <c r="O129" s="322"/>
      <c r="P129" s="322"/>
      <c r="Q129" s="322"/>
      <c r="R129" s="322"/>
      <c r="S129" s="322"/>
      <c r="T129" s="120"/>
      <c r="U129" s="119"/>
      <c r="V129" s="143"/>
      <c r="W129" s="143"/>
      <c r="X129" s="143"/>
      <c r="Y129" s="143"/>
      <c r="Z129" s="143"/>
      <c r="AA129" s="143"/>
      <c r="AB129" s="143"/>
      <c r="AC129" s="143"/>
      <c r="AD129" s="143"/>
      <c r="AE129" s="143"/>
      <c r="AF129" s="143"/>
      <c r="AG129" s="143"/>
      <c r="AH129" s="179"/>
      <c r="AI129" s="179"/>
      <c r="AJ129" s="179"/>
      <c r="AK129" s="179"/>
      <c r="AL129" s="179"/>
      <c r="AM129" s="179"/>
    </row>
    <row r="130" spans="1:39" s="121" customFormat="1" x14ac:dyDescent="0.25">
      <c r="A130" s="278"/>
      <c r="B130" s="278"/>
      <c r="C130" s="278"/>
      <c r="D130" s="278"/>
      <c r="E130" s="278"/>
      <c r="F130" s="278"/>
      <c r="G130" s="278"/>
      <c r="H130" s="278"/>
      <c r="I130" s="278"/>
      <c r="J130" s="278"/>
      <c r="K130" s="278"/>
      <c r="L130" s="278"/>
      <c r="M130" s="278"/>
      <c r="N130" s="278"/>
      <c r="O130" s="278"/>
      <c r="P130" s="278"/>
      <c r="Q130" s="278"/>
      <c r="R130" s="278"/>
      <c r="S130" s="278"/>
      <c r="T130" s="278"/>
      <c r="U130" s="119"/>
      <c r="V130" s="143"/>
      <c r="W130" s="143"/>
      <c r="X130" s="143"/>
      <c r="Y130" s="143"/>
      <c r="Z130" s="143"/>
      <c r="AA130" s="143"/>
      <c r="AB130" s="143"/>
      <c r="AC130" s="143"/>
      <c r="AD130" s="143"/>
      <c r="AE130" s="143"/>
      <c r="AF130" s="143"/>
      <c r="AG130" s="143"/>
      <c r="AH130" s="179"/>
      <c r="AI130" s="179"/>
      <c r="AJ130" s="179"/>
      <c r="AK130" s="179"/>
      <c r="AL130" s="179"/>
      <c r="AM130" s="179"/>
    </row>
    <row r="131" spans="1:39" s="121" customFormat="1" x14ac:dyDescent="0.25">
      <c r="A131" s="280"/>
      <c r="B131" s="280"/>
      <c r="C131" s="280"/>
      <c r="D131" s="280"/>
      <c r="E131" s="280"/>
      <c r="F131" s="280"/>
      <c r="G131" s="280"/>
      <c r="H131" s="280"/>
      <c r="I131" s="280"/>
      <c r="J131" s="280"/>
      <c r="K131" s="280"/>
      <c r="L131" s="280"/>
      <c r="M131" s="280"/>
      <c r="N131" s="280"/>
      <c r="O131" s="280"/>
      <c r="P131" s="280"/>
      <c r="Q131" s="280"/>
      <c r="R131" s="280"/>
      <c r="S131" s="280"/>
      <c r="T131" s="280"/>
      <c r="U131" s="119"/>
      <c r="V131" s="143"/>
      <c r="W131" s="143"/>
      <c r="X131" s="143"/>
      <c r="Y131" s="143"/>
      <c r="Z131" s="143"/>
      <c r="AA131" s="143"/>
      <c r="AB131" s="143"/>
      <c r="AC131" s="143"/>
      <c r="AD131" s="143"/>
      <c r="AE131" s="143"/>
      <c r="AF131" s="143"/>
      <c r="AG131" s="143"/>
      <c r="AH131" s="179"/>
      <c r="AI131" s="179"/>
      <c r="AJ131" s="179"/>
      <c r="AK131" s="179"/>
      <c r="AL131" s="179"/>
      <c r="AM131" s="179"/>
    </row>
    <row r="132" spans="1:39" s="121" customFormat="1" x14ac:dyDescent="0.25">
      <c r="A132" s="280"/>
      <c r="B132" s="280"/>
      <c r="C132" s="280"/>
      <c r="D132" s="280"/>
      <c r="E132" s="280"/>
      <c r="F132" s="280"/>
      <c r="G132" s="280"/>
      <c r="H132" s="280"/>
      <c r="I132" s="280"/>
      <c r="J132" s="280"/>
      <c r="K132" s="280"/>
      <c r="L132" s="280"/>
      <c r="M132" s="280"/>
      <c r="N132" s="280"/>
      <c r="O132" s="280"/>
      <c r="P132" s="280"/>
      <c r="Q132" s="280"/>
      <c r="R132" s="280"/>
      <c r="S132" s="280"/>
      <c r="T132" s="280"/>
      <c r="U132" s="119"/>
      <c r="V132" s="143"/>
      <c r="W132" s="143"/>
      <c r="X132" s="143"/>
      <c r="Y132" s="143"/>
      <c r="Z132" s="143"/>
      <c r="AA132" s="143"/>
      <c r="AB132" s="143"/>
      <c r="AC132" s="143"/>
      <c r="AD132" s="143"/>
      <c r="AE132" s="143"/>
      <c r="AF132" s="143"/>
      <c r="AG132" s="143"/>
      <c r="AH132" s="179"/>
      <c r="AI132" s="179"/>
      <c r="AJ132" s="179"/>
      <c r="AK132" s="179"/>
      <c r="AL132" s="179"/>
      <c r="AM132" s="179"/>
    </row>
    <row r="133" spans="1:39" s="121" customFormat="1" ht="21.75" customHeight="1" x14ac:dyDescent="0.25">
      <c r="A133" s="299"/>
      <c r="B133" s="280"/>
      <c r="C133" s="280"/>
      <c r="D133" s="280"/>
      <c r="E133" s="280"/>
      <c r="F133" s="280"/>
      <c r="G133" s="280"/>
      <c r="H133" s="280"/>
      <c r="I133" s="280"/>
      <c r="J133" s="280"/>
      <c r="K133" s="280"/>
      <c r="L133" s="280"/>
      <c r="M133" s="280"/>
      <c r="N133" s="280"/>
      <c r="O133" s="280"/>
      <c r="P133" s="280"/>
      <c r="Q133" s="280"/>
      <c r="R133" s="280"/>
      <c r="S133" s="280"/>
      <c r="T133" s="280"/>
      <c r="U133" s="143"/>
      <c r="V133" s="143"/>
      <c r="W133" s="143"/>
      <c r="X133" s="143"/>
      <c r="Y133" s="143"/>
      <c r="Z133" s="143"/>
      <c r="AA133" s="143"/>
      <c r="AB133" s="143"/>
      <c r="AC133" s="143"/>
      <c r="AD133" s="143"/>
      <c r="AE133" s="143"/>
      <c r="AF133" s="143"/>
      <c r="AG133" s="143"/>
      <c r="AH133" s="179"/>
      <c r="AI133" s="179"/>
      <c r="AJ133" s="179"/>
      <c r="AK133" s="179"/>
      <c r="AL133" s="179"/>
      <c r="AM133" s="179"/>
    </row>
    <row r="134" spans="1:39" s="121" customFormat="1" ht="22.5" customHeight="1" x14ac:dyDescent="0.2">
      <c r="A134" s="300"/>
      <c r="B134" s="302"/>
      <c r="C134" s="303"/>
      <c r="D134" s="303"/>
      <c r="E134" s="303"/>
      <c r="F134" s="303"/>
      <c r="G134" s="303"/>
      <c r="H134" s="304"/>
      <c r="I134" s="308"/>
      <c r="J134" s="274"/>
      <c r="K134" s="309"/>
      <c r="L134" s="234"/>
      <c r="M134" s="302"/>
      <c r="N134" s="234"/>
      <c r="O134" s="299"/>
      <c r="P134" s="274"/>
      <c r="Q134" s="309"/>
      <c r="R134" s="309"/>
      <c r="S134" s="309"/>
      <c r="T134" s="314"/>
      <c r="U134" s="143"/>
      <c r="V134" s="143"/>
      <c r="W134" s="143"/>
      <c r="X134" s="143"/>
      <c r="Y134" s="143"/>
      <c r="Z134" s="143"/>
      <c r="AA134" s="143"/>
      <c r="AB134" s="143"/>
      <c r="AC134" s="143"/>
      <c r="AD134" s="143"/>
      <c r="AE134" s="143"/>
      <c r="AF134" s="143"/>
      <c r="AG134" s="143"/>
      <c r="AH134" s="179"/>
      <c r="AI134" s="179"/>
      <c r="AJ134" s="179"/>
      <c r="AK134" s="179"/>
      <c r="AL134" s="179"/>
      <c r="AM134" s="179"/>
    </row>
    <row r="135" spans="1:39" s="121" customFormat="1" ht="14.25" x14ac:dyDescent="0.2">
      <c r="A135" s="301"/>
      <c r="B135" s="305"/>
      <c r="C135" s="306"/>
      <c r="D135" s="306"/>
      <c r="E135" s="306"/>
      <c r="F135" s="306"/>
      <c r="G135" s="306"/>
      <c r="H135" s="307"/>
      <c r="I135" s="280"/>
      <c r="J135" s="306"/>
      <c r="K135" s="310"/>
      <c r="L135" s="310"/>
      <c r="M135" s="311"/>
      <c r="N135" s="310"/>
      <c r="O135" s="312"/>
      <c r="P135" s="313"/>
      <c r="Q135" s="313"/>
      <c r="R135" s="313"/>
      <c r="S135" s="313"/>
      <c r="T135" s="280"/>
      <c r="U135" s="143"/>
      <c r="V135" s="143"/>
      <c r="W135" s="143"/>
      <c r="X135" s="143"/>
      <c r="Y135" s="143"/>
      <c r="Z135" s="143"/>
      <c r="AA135" s="143"/>
      <c r="AB135" s="143"/>
      <c r="AC135" s="143"/>
      <c r="AD135" s="143"/>
      <c r="AE135" s="143"/>
      <c r="AF135" s="143"/>
      <c r="AG135" s="143"/>
      <c r="AH135" s="179"/>
      <c r="AI135" s="179"/>
      <c r="AJ135" s="179"/>
      <c r="AK135" s="179"/>
      <c r="AL135" s="179"/>
      <c r="AM135" s="179"/>
    </row>
    <row r="136" spans="1:39" s="121" customFormat="1" ht="23.25" x14ac:dyDescent="0.2">
      <c r="A136" s="301"/>
      <c r="B136" s="281" t="s">
        <v>1310</v>
      </c>
      <c r="C136" s="315"/>
      <c r="D136" s="315"/>
      <c r="E136" s="315"/>
      <c r="F136" s="315"/>
      <c r="G136" s="315"/>
      <c r="H136" s="315"/>
      <c r="I136" s="280"/>
      <c r="J136" s="281" t="s">
        <v>1299</v>
      </c>
      <c r="K136" s="281"/>
      <c r="L136" s="281"/>
      <c r="M136" s="281"/>
      <c r="N136" s="281"/>
      <c r="O136" s="312"/>
      <c r="P136" s="281" t="s">
        <v>1417</v>
      </c>
      <c r="Q136" s="281"/>
      <c r="R136" s="281"/>
      <c r="S136" s="281"/>
      <c r="T136" s="280"/>
      <c r="U136" s="143"/>
      <c r="V136" s="143"/>
      <c r="W136" s="143"/>
      <c r="X136" s="143"/>
      <c r="Y136" s="143"/>
      <c r="Z136" s="143"/>
      <c r="AA136" s="143"/>
      <c r="AB136" s="143"/>
      <c r="AC136" s="143"/>
      <c r="AD136" s="143"/>
      <c r="AE136" s="143"/>
      <c r="AF136" s="143"/>
      <c r="AG136" s="143"/>
      <c r="AH136" s="179"/>
      <c r="AI136" s="179"/>
      <c r="AJ136" s="179"/>
      <c r="AK136" s="179"/>
      <c r="AL136" s="179"/>
      <c r="AM136" s="179"/>
    </row>
    <row r="137" spans="1:39" s="121" customFormat="1" x14ac:dyDescent="0.25">
      <c r="A137" s="283"/>
      <c r="B137" s="284"/>
      <c r="C137" s="284"/>
      <c r="D137" s="284"/>
      <c r="E137" s="284"/>
      <c r="F137" s="284"/>
      <c r="G137" s="284"/>
      <c r="H137" s="284"/>
      <c r="I137" s="284"/>
      <c r="J137" s="284"/>
      <c r="K137" s="284"/>
      <c r="L137" s="284"/>
      <c r="M137" s="284"/>
      <c r="N137" s="284"/>
      <c r="O137" s="284"/>
      <c r="P137" s="284"/>
      <c r="Q137" s="284"/>
      <c r="R137" s="284"/>
      <c r="S137" s="284"/>
      <c r="T137" s="284"/>
      <c r="U137" s="143"/>
      <c r="V137" s="143"/>
      <c r="W137" s="143"/>
      <c r="X137" s="143"/>
      <c r="Y137" s="143"/>
      <c r="Z137" s="143"/>
      <c r="AA137" s="143"/>
      <c r="AB137" s="143"/>
      <c r="AC137" s="143"/>
      <c r="AD137" s="143"/>
      <c r="AE137" s="143"/>
      <c r="AF137" s="143"/>
      <c r="AG137" s="143"/>
      <c r="AH137" s="179"/>
      <c r="AI137" s="179"/>
      <c r="AJ137" s="179"/>
      <c r="AK137" s="179"/>
      <c r="AL137" s="179"/>
      <c r="AM137" s="179"/>
    </row>
    <row r="138" spans="1:39" s="121" customFormat="1" ht="24.75" customHeight="1" x14ac:dyDescent="0.35">
      <c r="A138" s="285" t="str">
        <f>+IF(A92="Sección V: Información de Pago", "Seccion VI: Corredores que participan en el seguro", "Seccion VII: Corredores que participan en el seguro")</f>
        <v>Seccion VII: Corredores que participan en el seguro</v>
      </c>
      <c r="B138" s="286"/>
      <c r="C138" s="286"/>
      <c r="D138" s="286"/>
      <c r="E138" s="286"/>
      <c r="F138" s="286"/>
      <c r="G138" s="286"/>
      <c r="H138" s="286"/>
      <c r="I138" s="286"/>
      <c r="J138" s="286"/>
      <c r="K138" s="286"/>
      <c r="L138" s="286"/>
      <c r="M138" s="286"/>
      <c r="N138" s="286"/>
      <c r="O138" s="286"/>
      <c r="P138" s="286"/>
      <c r="Q138" s="286"/>
      <c r="R138" s="286"/>
      <c r="S138" s="286"/>
      <c r="T138" s="286"/>
      <c r="U138" s="142"/>
      <c r="V138" s="143"/>
      <c r="W138" s="143"/>
      <c r="X138" s="143"/>
      <c r="Y138" s="143"/>
      <c r="Z138" s="143"/>
      <c r="AA138" s="143"/>
      <c r="AB138" s="143"/>
      <c r="AC138" s="143"/>
      <c r="AD138" s="143"/>
      <c r="AE138" s="143"/>
      <c r="AF138" s="143"/>
      <c r="AG138" s="143"/>
      <c r="AH138" s="179"/>
      <c r="AI138" s="179"/>
      <c r="AJ138" s="179"/>
      <c r="AK138" s="179"/>
      <c r="AL138" s="179"/>
      <c r="AM138" s="179"/>
    </row>
    <row r="139" spans="1:39" s="121" customFormat="1" ht="21.75" customHeight="1" x14ac:dyDescent="0.2">
      <c r="A139" s="287" t="s">
        <v>1874</v>
      </c>
      <c r="B139" s="288"/>
      <c r="C139" s="288"/>
      <c r="D139" s="288"/>
      <c r="E139" s="288"/>
      <c r="F139" s="288"/>
      <c r="G139" s="288"/>
      <c r="H139" s="288"/>
      <c r="I139" s="288"/>
      <c r="J139" s="289"/>
      <c r="K139" s="240" t="s">
        <v>2009</v>
      </c>
      <c r="L139" s="217"/>
      <c r="M139" s="217"/>
      <c r="N139" s="217"/>
      <c r="O139" s="239"/>
      <c r="P139" s="290" t="s">
        <v>2010</v>
      </c>
      <c r="Q139" s="291"/>
      <c r="R139" s="291"/>
      <c r="S139" s="291"/>
      <c r="T139" s="292"/>
      <c r="U139" s="143"/>
      <c r="V139" s="143"/>
      <c r="W139" s="143"/>
      <c r="X139" s="143"/>
      <c r="Y139" s="143"/>
      <c r="Z139" s="143"/>
      <c r="AA139" s="143"/>
      <c r="AB139" s="143"/>
      <c r="AC139" s="143"/>
      <c r="AD139" s="143"/>
      <c r="AE139" s="143"/>
      <c r="AF139" s="143"/>
      <c r="AG139" s="143"/>
      <c r="AH139" s="179"/>
      <c r="AI139" s="179"/>
      <c r="AJ139" s="179"/>
      <c r="AK139" s="179"/>
      <c r="AL139" s="179"/>
      <c r="AM139" s="179"/>
    </row>
    <row r="140" spans="1:39" s="121" customFormat="1" ht="24.75" customHeight="1" x14ac:dyDescent="0.2">
      <c r="A140" s="293"/>
      <c r="B140" s="294"/>
      <c r="C140" s="294"/>
      <c r="D140" s="294"/>
      <c r="E140" s="294"/>
      <c r="F140" s="294"/>
      <c r="G140" s="294"/>
      <c r="H140" s="294"/>
      <c r="I140" s="294"/>
      <c r="J140" s="294"/>
      <c r="K140" s="295"/>
      <c r="L140" s="296"/>
      <c r="M140" s="296"/>
      <c r="N140" s="296"/>
      <c r="O140" s="296"/>
      <c r="P140" s="297"/>
      <c r="Q140" s="298"/>
      <c r="R140" s="298"/>
      <c r="S140" s="298"/>
      <c r="T140" s="298"/>
      <c r="U140" s="143"/>
      <c r="V140" s="143"/>
      <c r="W140" s="143"/>
      <c r="X140" s="143"/>
      <c r="Y140" s="143"/>
      <c r="Z140" s="143"/>
      <c r="AA140" s="143"/>
      <c r="AB140" s="143"/>
      <c r="AC140" s="143"/>
      <c r="AD140" s="143"/>
      <c r="AE140" s="143"/>
      <c r="AF140" s="143"/>
      <c r="AG140" s="143"/>
      <c r="AH140" s="179"/>
      <c r="AI140" s="179"/>
      <c r="AJ140" s="179"/>
      <c r="AK140" s="179"/>
      <c r="AL140" s="179"/>
      <c r="AM140" s="179"/>
    </row>
    <row r="141" spans="1:39" s="121" customFormat="1" ht="24.75" customHeight="1" x14ac:dyDescent="0.3">
      <c r="A141" s="260"/>
      <c r="B141" s="261"/>
      <c r="C141" s="261"/>
      <c r="D141" s="261"/>
      <c r="E141" s="261"/>
      <c r="F141" s="261"/>
      <c r="G141" s="261"/>
      <c r="H141" s="261"/>
      <c r="I141" s="261"/>
      <c r="J141" s="261"/>
      <c r="K141" s="262"/>
      <c r="L141" s="263"/>
      <c r="M141" s="263"/>
      <c r="N141" s="263"/>
      <c r="O141" s="263"/>
      <c r="P141" s="264"/>
      <c r="Q141" s="265"/>
      <c r="R141" s="265"/>
      <c r="S141" s="265"/>
      <c r="T141" s="265"/>
      <c r="U141" s="153"/>
      <c r="V141" s="143"/>
      <c r="W141" s="143"/>
      <c r="X141" s="143"/>
      <c r="Y141" s="143"/>
      <c r="Z141" s="143"/>
      <c r="AA141" s="143"/>
      <c r="AB141" s="143"/>
      <c r="AC141" s="143"/>
      <c r="AD141" s="143"/>
      <c r="AE141" s="143"/>
      <c r="AF141" s="143"/>
      <c r="AG141" s="143"/>
      <c r="AH141" s="179"/>
      <c r="AI141" s="179"/>
      <c r="AJ141" s="179"/>
      <c r="AK141" s="179"/>
      <c r="AL141" s="179"/>
      <c r="AM141" s="179"/>
    </row>
    <row r="142" spans="1:39" s="121" customFormat="1" ht="24.75" customHeight="1" x14ac:dyDescent="0.3">
      <c r="A142" s="260"/>
      <c r="B142" s="261"/>
      <c r="C142" s="261"/>
      <c r="D142" s="261"/>
      <c r="E142" s="261"/>
      <c r="F142" s="261"/>
      <c r="G142" s="261"/>
      <c r="H142" s="261"/>
      <c r="I142" s="261"/>
      <c r="J142" s="261"/>
      <c r="K142" s="262"/>
      <c r="L142" s="263"/>
      <c r="M142" s="263"/>
      <c r="N142" s="263"/>
      <c r="O142" s="263"/>
      <c r="P142" s="264"/>
      <c r="Q142" s="265"/>
      <c r="R142" s="265"/>
      <c r="S142" s="265"/>
      <c r="T142" s="265"/>
      <c r="U142" s="153"/>
      <c r="V142" s="143"/>
      <c r="W142" s="143"/>
      <c r="X142" s="143"/>
      <c r="Y142" s="143"/>
      <c r="Z142" s="143"/>
      <c r="AA142" s="143"/>
      <c r="AB142" s="143"/>
      <c r="AC142" s="143"/>
      <c r="AD142" s="143"/>
      <c r="AE142" s="143"/>
      <c r="AF142" s="143"/>
      <c r="AG142" s="143"/>
      <c r="AH142" s="179"/>
      <c r="AI142" s="179"/>
      <c r="AJ142" s="179"/>
      <c r="AK142" s="179"/>
      <c r="AL142" s="179"/>
      <c r="AM142" s="179"/>
    </row>
    <row r="143" spans="1:39" s="121" customFormat="1" ht="20.25" x14ac:dyDescent="0.3">
      <c r="A143" s="140"/>
      <c r="B143" s="140"/>
      <c r="C143" s="140"/>
      <c r="D143" s="140"/>
      <c r="E143" s="140"/>
      <c r="F143" s="140"/>
      <c r="G143" s="140"/>
      <c r="H143" s="140"/>
      <c r="I143" s="140"/>
      <c r="J143" s="140"/>
      <c r="K143" s="140"/>
      <c r="L143" s="140"/>
      <c r="M143" s="140"/>
      <c r="N143" s="140"/>
      <c r="O143" s="140"/>
      <c r="P143" s="140"/>
      <c r="Q143" s="140"/>
      <c r="R143" s="140"/>
      <c r="S143" s="140"/>
      <c r="T143" s="140"/>
      <c r="U143" s="266"/>
      <c r="V143" s="143"/>
      <c r="W143" s="143"/>
      <c r="X143" s="143"/>
      <c r="Y143" s="143"/>
      <c r="Z143" s="143"/>
      <c r="AA143" s="143"/>
      <c r="AB143" s="143"/>
      <c r="AC143" s="143"/>
      <c r="AD143" s="143"/>
      <c r="AE143" s="143"/>
      <c r="AF143" s="143"/>
      <c r="AG143" s="143"/>
      <c r="AH143" s="179"/>
      <c r="AI143" s="179"/>
      <c r="AJ143" s="179"/>
      <c r="AK143" s="179"/>
      <c r="AL143" s="179"/>
      <c r="AM143" s="179"/>
    </row>
    <row r="144" spans="1:39" s="121" customFormat="1" ht="23.25" x14ac:dyDescent="0.35">
      <c r="A144" s="140"/>
      <c r="B144" s="140"/>
      <c r="C144" s="140"/>
      <c r="D144" s="140"/>
      <c r="E144" s="140"/>
      <c r="F144" s="140"/>
      <c r="G144" s="140"/>
      <c r="H144" s="140"/>
      <c r="I144" s="140"/>
      <c r="J144" s="140"/>
      <c r="K144" s="140"/>
      <c r="L144" s="140"/>
      <c r="M144" s="267"/>
      <c r="N144" s="268"/>
      <c r="O144" s="268"/>
      <c r="P144" s="140"/>
      <c r="Q144" s="270"/>
      <c r="R144" s="270"/>
      <c r="S144" s="270"/>
      <c r="T144" s="271"/>
      <c r="U144" s="266"/>
      <c r="V144" s="143"/>
      <c r="W144" s="143"/>
      <c r="X144" s="143"/>
      <c r="Y144" s="143"/>
      <c r="Z144" s="143"/>
      <c r="AA144" s="143"/>
      <c r="AB144" s="143"/>
      <c r="AC144" s="143"/>
      <c r="AD144" s="143"/>
      <c r="AE144" s="143"/>
      <c r="AF144" s="143"/>
      <c r="AG144" s="143"/>
      <c r="AH144" s="179"/>
      <c r="AI144" s="179"/>
      <c r="AJ144" s="179"/>
      <c r="AK144" s="179"/>
      <c r="AL144" s="179"/>
      <c r="AM144" s="179"/>
    </row>
    <row r="145" spans="1:39" s="121" customFormat="1" ht="23.25" x14ac:dyDescent="0.35">
      <c r="A145" s="140"/>
      <c r="B145" s="140"/>
      <c r="C145" s="140"/>
      <c r="D145" s="140"/>
      <c r="E145" s="140"/>
      <c r="F145" s="140"/>
      <c r="G145" s="140"/>
      <c r="H145" s="140"/>
      <c r="I145" s="140"/>
      <c r="J145" s="140"/>
      <c r="K145" s="140"/>
      <c r="M145" s="269"/>
      <c r="N145" s="269"/>
      <c r="O145" s="269"/>
      <c r="P145" s="140"/>
      <c r="Q145" s="272"/>
      <c r="R145" s="272"/>
      <c r="S145" s="272"/>
      <c r="T145" s="273"/>
      <c r="U145" s="266"/>
      <c r="V145" s="143"/>
      <c r="W145" s="143"/>
      <c r="X145" s="143"/>
      <c r="Y145" s="143"/>
      <c r="Z145" s="143"/>
      <c r="AA145" s="143"/>
      <c r="AB145" s="143"/>
      <c r="AC145" s="143"/>
      <c r="AD145" s="143"/>
      <c r="AE145" s="143"/>
      <c r="AF145" s="143"/>
      <c r="AG145" s="143"/>
      <c r="AH145" s="179"/>
      <c r="AI145" s="179"/>
      <c r="AJ145" s="179"/>
      <c r="AK145" s="179"/>
      <c r="AL145" s="179"/>
      <c r="AM145" s="179"/>
    </row>
    <row r="146" spans="1:39" s="121" customFormat="1" ht="20.25" x14ac:dyDescent="0.3">
      <c r="A146" s="140"/>
      <c r="B146" s="274"/>
      <c r="C146" s="274"/>
      <c r="D146" s="274"/>
      <c r="E146" s="274"/>
      <c r="F146" s="274"/>
      <c r="G146" s="274"/>
      <c r="H146" s="274"/>
      <c r="I146" s="274"/>
      <c r="J146" s="140"/>
      <c r="K146" s="276"/>
      <c r="L146" s="277"/>
      <c r="M146" s="277"/>
      <c r="N146" s="277"/>
      <c r="O146" s="277"/>
      <c r="P146" s="278"/>
      <c r="Q146" s="278"/>
      <c r="R146" s="278"/>
      <c r="S146" s="278"/>
      <c r="T146" s="278"/>
      <c r="U146" s="266"/>
      <c r="V146" s="143"/>
      <c r="W146" s="143"/>
      <c r="X146" s="143"/>
      <c r="Y146" s="143"/>
      <c r="Z146" s="143"/>
      <c r="AA146" s="143"/>
      <c r="AB146" s="143"/>
      <c r="AC146" s="143"/>
      <c r="AD146" s="143"/>
      <c r="AE146" s="143"/>
      <c r="AF146" s="143"/>
      <c r="AG146" s="143"/>
      <c r="AH146" s="179"/>
      <c r="AI146" s="179"/>
      <c r="AJ146" s="179"/>
      <c r="AK146" s="179"/>
      <c r="AL146" s="179"/>
      <c r="AM146" s="179"/>
    </row>
    <row r="147" spans="1:39" s="121" customFormat="1" ht="20.25" x14ac:dyDescent="0.3">
      <c r="A147" s="140"/>
      <c r="B147" s="275"/>
      <c r="C147" s="275"/>
      <c r="D147" s="275"/>
      <c r="E147" s="275"/>
      <c r="F147" s="275"/>
      <c r="G147" s="275"/>
      <c r="H147" s="275"/>
      <c r="I147" s="275"/>
      <c r="J147" s="140"/>
      <c r="K147" s="279"/>
      <c r="L147" s="279"/>
      <c r="M147" s="279"/>
      <c r="N147" s="279"/>
      <c r="O147" s="279"/>
      <c r="P147" s="280"/>
      <c r="Q147" s="280"/>
      <c r="R147" s="280"/>
      <c r="S147" s="280"/>
      <c r="T147" s="280"/>
      <c r="U147" s="266"/>
      <c r="V147" s="143"/>
      <c r="W147" s="143"/>
      <c r="X147" s="143"/>
      <c r="Y147" s="143"/>
      <c r="Z147" s="143"/>
      <c r="AA147" s="143"/>
      <c r="AB147" s="143"/>
      <c r="AC147" s="143"/>
      <c r="AD147" s="143"/>
      <c r="AE147" s="143"/>
      <c r="AF147" s="143"/>
      <c r="AG147" s="143"/>
      <c r="AH147" s="179"/>
      <c r="AI147" s="179"/>
      <c r="AJ147" s="179"/>
      <c r="AK147" s="179"/>
      <c r="AL147" s="179"/>
      <c r="AM147" s="179"/>
    </row>
    <row r="148" spans="1:39" s="121" customFormat="1" ht="23.25" x14ac:dyDescent="0.35">
      <c r="A148" s="140"/>
      <c r="B148" s="281" t="s">
        <v>2011</v>
      </c>
      <c r="C148" s="281"/>
      <c r="D148" s="281"/>
      <c r="E148" s="281"/>
      <c r="F148" s="281"/>
      <c r="G148" s="281"/>
      <c r="H148" s="281"/>
      <c r="I148" s="281"/>
      <c r="J148" s="112"/>
      <c r="K148" s="280"/>
      <c r="L148" s="280"/>
      <c r="M148" s="280"/>
      <c r="N148" s="280"/>
      <c r="O148" s="280"/>
      <c r="P148" s="280"/>
      <c r="Q148" s="280"/>
      <c r="R148" s="280"/>
      <c r="S148" s="280"/>
      <c r="T148" s="280"/>
      <c r="U148" s="266"/>
      <c r="V148" s="143"/>
      <c r="W148" s="143"/>
      <c r="X148" s="143"/>
      <c r="Y148" s="143"/>
      <c r="Z148" s="143"/>
      <c r="AA148" s="143"/>
      <c r="AB148" s="143"/>
      <c r="AC148" s="143"/>
      <c r="AD148" s="143"/>
      <c r="AE148" s="143"/>
      <c r="AF148" s="143"/>
      <c r="AG148" s="143"/>
      <c r="AH148" s="179"/>
      <c r="AI148" s="179"/>
      <c r="AJ148" s="179"/>
      <c r="AK148" s="179"/>
      <c r="AL148" s="179"/>
      <c r="AM148" s="179"/>
    </row>
    <row r="149" spans="1:39" s="121" customFormat="1" ht="14.25" x14ac:dyDescent="0.2">
      <c r="A149" s="282"/>
      <c r="B149" s="280"/>
      <c r="C149" s="280"/>
      <c r="D149" s="280"/>
      <c r="E149" s="280"/>
      <c r="F149" s="280"/>
      <c r="G149" s="280"/>
      <c r="H149" s="280"/>
      <c r="I149" s="280"/>
      <c r="J149" s="280"/>
      <c r="K149" s="280"/>
      <c r="L149" s="280"/>
      <c r="M149" s="280"/>
      <c r="N149" s="280"/>
      <c r="O149" s="280"/>
      <c r="P149" s="280"/>
      <c r="Q149" s="280"/>
      <c r="R149" s="280"/>
      <c r="S149" s="280"/>
      <c r="T149" s="280"/>
      <c r="U149" s="266"/>
      <c r="V149" s="143"/>
      <c r="W149" s="143"/>
      <c r="X149" s="143"/>
      <c r="Y149" s="143"/>
      <c r="Z149" s="143"/>
      <c r="AA149" s="143"/>
      <c r="AB149" s="143"/>
      <c r="AC149" s="143"/>
      <c r="AD149" s="143"/>
      <c r="AE149" s="143"/>
      <c r="AF149" s="143"/>
      <c r="AG149" s="143"/>
      <c r="AH149" s="179"/>
      <c r="AI149" s="179"/>
      <c r="AJ149" s="179"/>
      <c r="AK149" s="179"/>
      <c r="AL149" s="179"/>
      <c r="AM149" s="179"/>
    </row>
    <row r="150" spans="1:39" s="121" customFormat="1" ht="14.25" x14ac:dyDescent="0.2">
      <c r="A150" s="282"/>
      <c r="B150" s="280"/>
      <c r="C150" s="280"/>
      <c r="D150" s="280"/>
      <c r="E150" s="280"/>
      <c r="F150" s="280"/>
      <c r="G150" s="280"/>
      <c r="H150" s="280"/>
      <c r="I150" s="280"/>
      <c r="J150" s="280"/>
      <c r="K150" s="280"/>
      <c r="L150" s="280"/>
      <c r="M150" s="280"/>
      <c r="N150" s="280"/>
      <c r="O150" s="280"/>
      <c r="P150" s="280"/>
      <c r="Q150" s="280"/>
      <c r="R150" s="280"/>
      <c r="S150" s="280"/>
      <c r="T150" s="280"/>
      <c r="U150" s="266"/>
      <c r="V150" s="143"/>
      <c r="W150" s="143"/>
      <c r="X150" s="143"/>
      <c r="Y150" s="143"/>
      <c r="Z150" s="143"/>
      <c r="AA150" s="143"/>
      <c r="AB150" s="143"/>
      <c r="AC150" s="143"/>
      <c r="AD150" s="143"/>
      <c r="AE150" s="143"/>
      <c r="AF150" s="143"/>
      <c r="AG150" s="143"/>
      <c r="AH150" s="179"/>
      <c r="AI150" s="179"/>
      <c r="AJ150" s="179"/>
      <c r="AK150" s="179"/>
      <c r="AL150" s="179"/>
      <c r="AM150" s="179"/>
    </row>
    <row r="151" spans="1:39" s="121" customFormat="1" ht="14.25" x14ac:dyDescent="0.2">
      <c r="A151" s="280"/>
      <c r="B151" s="280"/>
      <c r="C151" s="280"/>
      <c r="D151" s="280"/>
      <c r="E151" s="280"/>
      <c r="F151" s="280"/>
      <c r="G151" s="280"/>
      <c r="H151" s="280"/>
      <c r="I151" s="280"/>
      <c r="J151" s="280"/>
      <c r="K151" s="280"/>
      <c r="L151" s="280"/>
      <c r="M151" s="280"/>
      <c r="N151" s="280"/>
      <c r="O151" s="280"/>
      <c r="P151" s="280"/>
      <c r="Q151" s="280"/>
      <c r="R151" s="280"/>
      <c r="S151" s="280"/>
      <c r="T151" s="280"/>
      <c r="U151" s="266"/>
      <c r="V151" s="143"/>
      <c r="W151" s="143"/>
      <c r="X151" s="143"/>
      <c r="Y151" s="143"/>
      <c r="Z151" s="143"/>
      <c r="AA151" s="143"/>
      <c r="AB151" s="143"/>
      <c r="AC151" s="143"/>
      <c r="AD151" s="143"/>
      <c r="AE151" s="143"/>
      <c r="AF151" s="143"/>
      <c r="AG151" s="143"/>
      <c r="AH151" s="179"/>
      <c r="AI151" s="179"/>
      <c r="AJ151" s="179"/>
      <c r="AK151" s="179"/>
      <c r="AL151" s="179"/>
      <c r="AM151" s="179"/>
    </row>
    <row r="152" spans="1:39" s="121" customFormat="1" ht="14.25" x14ac:dyDescent="0.2">
      <c r="A152" s="280"/>
      <c r="B152" s="280"/>
      <c r="C152" s="280"/>
      <c r="D152" s="280"/>
      <c r="E152" s="280"/>
      <c r="F152" s="280"/>
      <c r="G152" s="280"/>
      <c r="H152" s="280"/>
      <c r="I152" s="280"/>
      <c r="J152" s="280"/>
      <c r="K152" s="280"/>
      <c r="L152" s="280"/>
      <c r="M152" s="280"/>
      <c r="N152" s="280"/>
      <c r="O152" s="280"/>
      <c r="P152" s="280"/>
      <c r="Q152" s="280"/>
      <c r="R152" s="280"/>
      <c r="S152" s="280"/>
      <c r="T152" s="280"/>
      <c r="U152" s="266"/>
      <c r="V152" s="143"/>
      <c r="W152" s="143"/>
      <c r="X152" s="143"/>
      <c r="Y152" s="143"/>
      <c r="Z152" s="143"/>
      <c r="AA152" s="143"/>
      <c r="AB152" s="143"/>
      <c r="AC152" s="143"/>
      <c r="AD152" s="143"/>
      <c r="AE152" s="143"/>
      <c r="AF152" s="143"/>
      <c r="AG152" s="143"/>
      <c r="AH152" s="179"/>
      <c r="AI152" s="179"/>
      <c r="AJ152" s="179"/>
      <c r="AK152" s="179"/>
      <c r="AL152" s="179"/>
      <c r="AM152" s="179"/>
    </row>
  </sheetData>
  <sheetProtection algorithmName="SHA-512" hashValue="iAIsv6ZQRL6JKaMPylCDVf8HB/4cknhsmK1YxcQkbqKYTfE8faJ7uUe4nMpr3qV2gtTzKT8mGcqycSamLomKSA==" saltValue="LHx7HS8vhjidq6/hoislQA==" spinCount="100000" sheet="1" objects="1" scenarios="1"/>
  <mergeCells count="337">
    <mergeCell ref="AF68:AG68"/>
    <mergeCell ref="A71:C71"/>
    <mergeCell ref="E71:H71"/>
    <mergeCell ref="I71:L71"/>
    <mergeCell ref="N71:T71"/>
    <mergeCell ref="L61:M61"/>
    <mergeCell ref="P59:Q59"/>
    <mergeCell ref="J60:K60"/>
    <mergeCell ref="L60:O60"/>
    <mergeCell ref="A62:K62"/>
    <mergeCell ref="P60:Q60"/>
    <mergeCell ref="L62:N62"/>
    <mergeCell ref="AF67:AG67"/>
    <mergeCell ref="H60:I60"/>
    <mergeCell ref="F60:G60"/>
    <mergeCell ref="B60:C60"/>
    <mergeCell ref="D60:E60"/>
    <mergeCell ref="F59:K59"/>
    <mergeCell ref="L59:O59"/>
    <mergeCell ref="A61:K61"/>
    <mergeCell ref="R60:T60"/>
    <mergeCell ref="D66:M66"/>
    <mergeCell ref="A69:F69"/>
    <mergeCell ref="A70:G70"/>
    <mergeCell ref="A9:D9"/>
    <mergeCell ref="E9:I9"/>
    <mergeCell ref="J9:O9"/>
    <mergeCell ref="P9:T9"/>
    <mergeCell ref="A10:C10"/>
    <mergeCell ref="E10:J10"/>
    <mergeCell ref="A11:D11"/>
    <mergeCell ref="G11:J11"/>
    <mergeCell ref="A1:T2"/>
    <mergeCell ref="A3:T3"/>
    <mergeCell ref="A4:T4"/>
    <mergeCell ref="A5:T5"/>
    <mergeCell ref="A6:T6"/>
    <mergeCell ref="A7:T7"/>
    <mergeCell ref="A8:D8"/>
    <mergeCell ref="E8:I8"/>
    <mergeCell ref="J8:O8"/>
    <mergeCell ref="P8:T8"/>
    <mergeCell ref="L10:N10"/>
    <mergeCell ref="L11:N11"/>
    <mergeCell ref="O10:T10"/>
    <mergeCell ref="O11:T11"/>
    <mergeCell ref="A24:T24"/>
    <mergeCell ref="F12:L12"/>
    <mergeCell ref="M12:T12"/>
    <mergeCell ref="B13:C13"/>
    <mergeCell ref="D13:E13"/>
    <mergeCell ref="F13:L13"/>
    <mergeCell ref="M13:T13"/>
    <mergeCell ref="A17:T17"/>
    <mergeCell ref="A18:D18"/>
    <mergeCell ref="E18:H18"/>
    <mergeCell ref="J18:M18"/>
    <mergeCell ref="O18:S18"/>
    <mergeCell ref="A21:I21"/>
    <mergeCell ref="J21:T21"/>
    <mergeCell ref="A22:K22"/>
    <mergeCell ref="M22:S22"/>
    <mergeCell ref="A12:E12"/>
    <mergeCell ref="A14:F14"/>
    <mergeCell ref="I14:K14"/>
    <mergeCell ref="A23:L23"/>
    <mergeCell ref="M23:T23"/>
    <mergeCell ref="L14:M14"/>
    <mergeCell ref="L15:M15"/>
    <mergeCell ref="A16:T16"/>
    <mergeCell ref="A26:D26"/>
    <mergeCell ref="E26:I26"/>
    <mergeCell ref="J26:N26"/>
    <mergeCell ref="O26:T26"/>
    <mergeCell ref="A27:H27"/>
    <mergeCell ref="J27:S27"/>
    <mergeCell ref="A28:I28"/>
    <mergeCell ref="J28:T28"/>
    <mergeCell ref="R29:T29"/>
    <mergeCell ref="Y8:AA8"/>
    <mergeCell ref="A15:F15"/>
    <mergeCell ref="I15:K15"/>
    <mergeCell ref="G14:H14"/>
    <mergeCell ref="G15:H15"/>
    <mergeCell ref="N14:T14"/>
    <mergeCell ref="N15:T15"/>
    <mergeCell ref="A31:H31"/>
    <mergeCell ref="A32:H32"/>
    <mergeCell ref="A25:D25"/>
    <mergeCell ref="E25:H25"/>
    <mergeCell ref="J25:M25"/>
    <mergeCell ref="O25:S25"/>
    <mergeCell ref="A19:D19"/>
    <mergeCell ref="E19:I19"/>
    <mergeCell ref="J19:N19"/>
    <mergeCell ref="O19:T19"/>
    <mergeCell ref="A20:H20"/>
    <mergeCell ref="J20:S20"/>
    <mergeCell ref="A30:I30"/>
    <mergeCell ref="A29:H29"/>
    <mergeCell ref="J29:N29"/>
    <mergeCell ref="J30:N30"/>
    <mergeCell ref="O29:Q29"/>
    <mergeCell ref="S38:T38"/>
    <mergeCell ref="I39:J39"/>
    <mergeCell ref="S39:T39"/>
    <mergeCell ref="A40:R40"/>
    <mergeCell ref="S40:T40"/>
    <mergeCell ref="A36:G36"/>
    <mergeCell ref="H36:L36"/>
    <mergeCell ref="N36:T36"/>
    <mergeCell ref="O30:Q30"/>
    <mergeCell ref="A33:T33"/>
    <mergeCell ref="A34:T34"/>
    <mergeCell ref="I31:T31"/>
    <mergeCell ref="I32:T32"/>
    <mergeCell ref="A37:O37"/>
    <mergeCell ref="P37:R37"/>
    <mergeCell ref="S37:T37"/>
    <mergeCell ref="A35:T35"/>
    <mergeCell ref="R30:T30"/>
    <mergeCell ref="K38:M38"/>
    <mergeCell ref="N38:O38"/>
    <mergeCell ref="K39:M39"/>
    <mergeCell ref="N39:O39"/>
    <mergeCell ref="A38:B38"/>
    <mergeCell ref="D38:J38"/>
    <mergeCell ref="A41:C41"/>
    <mergeCell ref="E41:T41"/>
    <mergeCell ref="A43:T43"/>
    <mergeCell ref="A44:H44"/>
    <mergeCell ref="I44:T44"/>
    <mergeCell ref="A45:H45"/>
    <mergeCell ref="I45:T45"/>
    <mergeCell ref="A42:D42"/>
    <mergeCell ref="F42:T42"/>
    <mergeCell ref="E56:M56"/>
    <mergeCell ref="A57:D57"/>
    <mergeCell ref="G57:N57"/>
    <mergeCell ref="A46:T46"/>
    <mergeCell ref="A47:D47"/>
    <mergeCell ref="E47:I47"/>
    <mergeCell ref="J47:N47"/>
    <mergeCell ref="O47:T47"/>
    <mergeCell ref="A48:O48"/>
    <mergeCell ref="P48:R48"/>
    <mergeCell ref="S48:T48"/>
    <mergeCell ref="A49:C49"/>
    <mergeCell ref="E49:M49"/>
    <mergeCell ref="O49:T52"/>
    <mergeCell ref="A50:D50"/>
    <mergeCell ref="E50:N50"/>
    <mergeCell ref="A51:C51"/>
    <mergeCell ref="E51:M51"/>
    <mergeCell ref="A52:D52"/>
    <mergeCell ref="G52:N52"/>
    <mergeCell ref="G91:H91"/>
    <mergeCell ref="K91:N91"/>
    <mergeCell ref="O91:R91"/>
    <mergeCell ref="A90:F90"/>
    <mergeCell ref="G90:H90"/>
    <mergeCell ref="A74:T74"/>
    <mergeCell ref="A75:T75"/>
    <mergeCell ref="A80:T80"/>
    <mergeCell ref="A85:T85"/>
    <mergeCell ref="S86:T86"/>
    <mergeCell ref="A86:F86"/>
    <mergeCell ref="G86:H86"/>
    <mergeCell ref="I86:N86"/>
    <mergeCell ref="O86:R86"/>
    <mergeCell ref="B78:L78"/>
    <mergeCell ref="B82:N82"/>
    <mergeCell ref="B83:N83"/>
    <mergeCell ref="A81:N81"/>
    <mergeCell ref="K90:N90"/>
    <mergeCell ref="O90:R90"/>
    <mergeCell ref="S90:T90"/>
    <mergeCell ref="A79:L79"/>
    <mergeCell ref="M76:T79"/>
    <mergeCell ref="A84:N84"/>
    <mergeCell ref="A73:D73"/>
    <mergeCell ref="K73:N73"/>
    <mergeCell ref="E73:J73"/>
    <mergeCell ref="O73:T73"/>
    <mergeCell ref="A72:T72"/>
    <mergeCell ref="A97:C97"/>
    <mergeCell ref="D97:H97"/>
    <mergeCell ref="I97:P97"/>
    <mergeCell ref="Q97:R97"/>
    <mergeCell ref="S97:T97"/>
    <mergeCell ref="E94:G94"/>
    <mergeCell ref="H94:M94"/>
    <mergeCell ref="N94:T94"/>
    <mergeCell ref="A92:T92"/>
    <mergeCell ref="Q96:S96"/>
    <mergeCell ref="A93:C93"/>
    <mergeCell ref="E93:T93"/>
    <mergeCell ref="A94:C94"/>
    <mergeCell ref="S91:T91"/>
    <mergeCell ref="A95:T95"/>
    <mergeCell ref="A96:B96"/>
    <mergeCell ref="D96:G96"/>
    <mergeCell ref="I96:O96"/>
    <mergeCell ref="A91:F91"/>
    <mergeCell ref="B77:F77"/>
    <mergeCell ref="G77:L77"/>
    <mergeCell ref="A89:F89"/>
    <mergeCell ref="G89:H89"/>
    <mergeCell ref="K89:N89"/>
    <mergeCell ref="O89:R89"/>
    <mergeCell ref="S89:T89"/>
    <mergeCell ref="S87:T87"/>
    <mergeCell ref="A87:F87"/>
    <mergeCell ref="G87:H87"/>
    <mergeCell ref="K87:N87"/>
    <mergeCell ref="O87:R87"/>
    <mergeCell ref="A88:F88"/>
    <mergeCell ref="G88:H88"/>
    <mergeCell ref="K88:N88"/>
    <mergeCell ref="O88:R88"/>
    <mergeCell ref="S88:T88"/>
    <mergeCell ref="O81:T84"/>
    <mergeCell ref="V64:Z64"/>
    <mergeCell ref="V65:AA65"/>
    <mergeCell ref="A65:B65"/>
    <mergeCell ref="A66:C66"/>
    <mergeCell ref="N66:T66"/>
    <mergeCell ref="N65:P65"/>
    <mergeCell ref="Q65:S65"/>
    <mergeCell ref="A67:D67"/>
    <mergeCell ref="A68:E68"/>
    <mergeCell ref="M67:S67"/>
    <mergeCell ref="M68:T68"/>
    <mergeCell ref="F67:H67"/>
    <mergeCell ref="I67:K67"/>
    <mergeCell ref="F68:L68"/>
    <mergeCell ref="D65:E65"/>
    <mergeCell ref="F65:L65"/>
    <mergeCell ref="A64:D64"/>
    <mergeCell ref="I64:M64"/>
    <mergeCell ref="E64:H64"/>
    <mergeCell ref="N64:T64"/>
    <mergeCell ref="N98:S98"/>
    <mergeCell ref="A99:J99"/>
    <mergeCell ref="K99:M99"/>
    <mergeCell ref="P99:T99"/>
    <mergeCell ref="A100:T103"/>
    <mergeCell ref="A104:T106"/>
    <mergeCell ref="C107:D107"/>
    <mergeCell ref="E107:G107"/>
    <mergeCell ref="H107:J108"/>
    <mergeCell ref="K107:R107"/>
    <mergeCell ref="S107:T108"/>
    <mergeCell ref="B108:G108"/>
    <mergeCell ref="K108:R108"/>
    <mergeCell ref="A98:I98"/>
    <mergeCell ref="K98:L98"/>
    <mergeCell ref="A109:T109"/>
    <mergeCell ref="A110:T110"/>
    <mergeCell ref="A112:T112"/>
    <mergeCell ref="A113:T115"/>
    <mergeCell ref="A116:T117"/>
    <mergeCell ref="A118:T118"/>
    <mergeCell ref="A111:T111"/>
    <mergeCell ref="A119:B119"/>
    <mergeCell ref="D119:H119"/>
    <mergeCell ref="I119:L119"/>
    <mergeCell ref="N119:T119"/>
    <mergeCell ref="A120:B120"/>
    <mergeCell ref="D120:M120"/>
    <mergeCell ref="N120:T121"/>
    <mergeCell ref="A121:M121"/>
    <mergeCell ref="N122:T124"/>
    <mergeCell ref="A125:J129"/>
    <mergeCell ref="K125:T126"/>
    <mergeCell ref="K127:S128"/>
    <mergeCell ref="K129:S129"/>
    <mergeCell ref="A130:T132"/>
    <mergeCell ref="A133:T133"/>
    <mergeCell ref="A134:A136"/>
    <mergeCell ref="B134:H135"/>
    <mergeCell ref="I134:I136"/>
    <mergeCell ref="J134:J135"/>
    <mergeCell ref="K134:L135"/>
    <mergeCell ref="M134:N135"/>
    <mergeCell ref="O134:O136"/>
    <mergeCell ref="P134:S135"/>
    <mergeCell ref="T134:T136"/>
    <mergeCell ref="B136:H136"/>
    <mergeCell ref="J136:N136"/>
    <mergeCell ref="P136:S136"/>
    <mergeCell ref="A137:T137"/>
    <mergeCell ref="A138:T138"/>
    <mergeCell ref="A139:J139"/>
    <mergeCell ref="K139:O139"/>
    <mergeCell ref="P139:T139"/>
    <mergeCell ref="A140:J140"/>
    <mergeCell ref="K140:O140"/>
    <mergeCell ref="P140:T140"/>
    <mergeCell ref="A141:J141"/>
    <mergeCell ref="K141:O141"/>
    <mergeCell ref="P141:T141"/>
    <mergeCell ref="A142:J142"/>
    <mergeCell ref="K142:O142"/>
    <mergeCell ref="P142:T142"/>
    <mergeCell ref="U143:U152"/>
    <mergeCell ref="M144:O145"/>
    <mergeCell ref="Q144:T144"/>
    <mergeCell ref="Q145:T145"/>
    <mergeCell ref="B146:I147"/>
    <mergeCell ref="K146:T148"/>
    <mergeCell ref="B148:I148"/>
    <mergeCell ref="A149:T152"/>
    <mergeCell ref="H69:N69"/>
    <mergeCell ref="H70:O70"/>
    <mergeCell ref="A39:C39"/>
    <mergeCell ref="E39:H39"/>
    <mergeCell ref="A58:T58"/>
    <mergeCell ref="R59:S59"/>
    <mergeCell ref="O61:S61"/>
    <mergeCell ref="O62:T62"/>
    <mergeCell ref="A63:C63"/>
    <mergeCell ref="I63:L63"/>
    <mergeCell ref="E63:G63"/>
    <mergeCell ref="A59:E59"/>
    <mergeCell ref="N63:S63"/>
    <mergeCell ref="P69:S69"/>
    <mergeCell ref="Q70:T70"/>
    <mergeCell ref="A53:O53"/>
    <mergeCell ref="P53:R53"/>
    <mergeCell ref="S53:T53"/>
    <mergeCell ref="A54:C54"/>
    <mergeCell ref="E54:M54"/>
    <mergeCell ref="O54:T57"/>
    <mergeCell ref="A55:D55"/>
    <mergeCell ref="E55:N55"/>
    <mergeCell ref="A56:C56"/>
  </mergeCells>
  <dataValidations count="94">
    <dataValidation type="list" allowBlank="1" showInputMessage="1" showErrorMessage="1" errorTitle="Respuesta Errada" error="Debe seleccionar del menú desplegable." prompt="DD/mes/AAAA" sqref="A60 Q38:Q39 A13 F60">
      <formula1>dia</formula1>
    </dataValidation>
    <dataValidation type="list" allowBlank="1" showInputMessage="1" showErrorMessage="1" errorTitle="Respuesta Errada" error="Debe seleccionar del menú desplegable." sqref="Q97:R97 C107:D107 K134">
      <formula1>mes</formula1>
    </dataValidation>
    <dataValidation type="list" allowBlank="1" showInputMessage="1" showErrorMessage="1" errorTitle="Respuesta Errada" error="Debe seleccionar del menú desplegable." sqref="D119">
      <formula1>canal</formula1>
    </dataValidation>
    <dataValidation type="whole" allowBlank="1" showInputMessage="1" showErrorMessage="1" errorTitle="Año Incorrecto" error="Asegurarse que el año de fin de vigencia sea un año vigente o futuro." prompt="DD/mes/AAAA" sqref="J60:K60">
      <formula1>2019</formula1>
      <formula2>2100</formula2>
    </dataValidation>
    <dataValidation type="list" allowBlank="1" showInputMessage="1" showErrorMessage="1" errorTitle="Respuesta Errada" error="Debe seleccionar del menú desplegable." sqref="E93">
      <formula1>formadepago</formula1>
    </dataValidation>
    <dataValidation type="list" allowBlank="1" showInputMessage="1" showErrorMessage="1" errorTitle="Respuesta Errada" error="Debe seleccionar del menú desplegable." sqref="E94:G94">
      <formula1>frecuencia</formula1>
    </dataValidation>
    <dataValidation type="list" allowBlank="1" showInputMessage="1" showErrorMessage="1" errorTitle="Respuesta Errada" error="Debe seleccionar del menú desplegable." sqref="U98 A99:J99 A62:K62">
      <formula1>banco</formula1>
    </dataValidation>
    <dataValidation type="list" allowBlank="1" showInputMessage="1" showErrorMessage="1" errorTitle="Respuesta Errada" error="Debe seleccionar del menú desplegable." sqref="K99:M99">
      <formula1>id</formula1>
    </dataValidation>
    <dataValidation type="decimal" allowBlank="1" showInputMessage="1" showErrorMessage="1" errorTitle="Año Incorrecto" error="Debe tener 4 caracteres numéricos." sqref="V65:Z65 A66">
      <formula1>1900</formula1>
      <formula2>9999</formula2>
    </dataValidation>
    <dataValidation allowBlank="1" showInputMessage="1" showErrorMessage="1" prompt="DD/mes/AAAA" sqref="F59 A59 A12:D12 P38:P39 K38:K39"/>
    <dataValidation type="list" allowBlank="1" showInputMessage="1" showErrorMessage="1" errorTitle="Respuesta Errada" error="Debe seleccionar del menú desplegable." prompt="DD/mes/AAAA" sqref="R38:R39 H60">
      <formula1>mes</formula1>
    </dataValidation>
    <dataValidation type="list" allowBlank="1" showInputMessage="1" showErrorMessage="1" errorTitle="Respuesta Errada" error="Debe seleccionar del menú desplegable._x000a_" prompt="DD/mes/AAAA_x000a_" sqref="B60">
      <formula1>mes</formula1>
    </dataValidation>
    <dataValidation type="textLength" allowBlank="1" showInputMessage="1" showErrorMessage="1" errorTitle="Valor Invalido" error="Debe contener 6 dígitos" sqref="O62:S62">
      <formula1>6</formula1>
      <formula2>6</formula2>
    </dataValidation>
    <dataValidation type="textLength" allowBlank="1" showInputMessage="1" showErrorMessage="1" errorTitle="Valor Invalido" error="Debe contener 17 dígitos" sqref="I64:M64">
      <formula1>17</formula1>
      <formula2>17</formula2>
    </dataValidation>
    <dataValidation type="custom" allowBlank="1" showInputMessage="1" showErrorMessage="1" errorTitle="Valor Invalido" error="Asegúrese que sea un valor numérico" sqref="U68:Y68 Q70 N66:R66">
      <formula1>ISNUMBER(N66)</formula1>
    </dataValidation>
    <dataValidation type="custom" allowBlank="1" showInputMessage="1" showErrorMessage="1" errorTitle="Valor Invalido" error="Asegúrese que sea un valor numérico" prompt="Sin incluir al conductor" sqref="A68">
      <formula1>ISNUMBER(A68)</formula1>
    </dataValidation>
    <dataValidation type="list" allowBlank="1" showInputMessage="1" showErrorMessage="1" errorTitle="Respuesta Errada" error="Debe seleccionar del menú desplegable" sqref="F68">
      <formula1>INDIRECT($AL$60)</formula1>
    </dataValidation>
    <dataValidation type="list" allowBlank="1" showInputMessage="1" showErrorMessage="1" errorTitle="Respuesta Errada" error="Debe seleccionar del menú desplegable." sqref="M68">
      <formula1>Lesiones_Corporales</formula1>
    </dataValidation>
    <dataValidation type="list" allowBlank="1" showInputMessage="1" showErrorMessage="1" errorTitle="Respuesta Errada" error="Debe seleccionar del menú desplegable." sqref="A70">
      <formula1>Daños_a_la_propiedad_ajena</formula1>
    </dataValidation>
    <dataValidation type="list" allowBlank="1" showInputMessage="1" showErrorMessage="1" errorTitle="Respuesta Errada" error="Debe seleccionar del menú desplegable." sqref="H70">
      <formula1>Gastos_Médicos</formula1>
    </dataValidation>
    <dataValidation type="list" allowBlank="1" showInputMessage="1" showErrorMessage="1" errorTitle="Respuesta Errada" error="Debe seleccionar del menú desplegable." sqref="E71">
      <formula1>prima</formula1>
    </dataValidation>
    <dataValidation type="list" allowBlank="1" showInputMessage="1" showErrorMessage="1" errorTitle="Respuesta Errada" error="Debe seleccionar del menú desplegable." prompt="Debe llenar el campo de actividad para que las tarifas se desplieguen" sqref="B83:L83">
      <formula1>asiento</formula1>
    </dataValidation>
    <dataValidation type="whole" allowBlank="1" showInputMessage="1" showErrorMessage="1" errorTitle="Año Incorrecto" error="Asegurarse que el año de inicio de vigencia sea un año vigente." prompt="DD/mes/AAAA" sqref="D60:E60">
      <formula1>2019</formula1>
      <formula2>2100</formula2>
    </dataValidation>
    <dataValidation type="list" allowBlank="1" showInputMessage="1" showErrorMessage="1" errorTitle="Respuesta Errada" error="Debe seleccionar del menú desplegable." prompt="Si es cedula, elegir la provincia" sqref="F11">
      <formula1>INDIRECT(X11)</formula1>
    </dataValidation>
    <dataValidation type="textLength" allowBlank="1" showInputMessage="1" showErrorMessage="1" errorTitle="Respuesta Errada" error="Solo se permiten 2 caracteres." sqref="K11">
      <formula1>1</formula1>
      <formula2>2</formula2>
    </dataValidation>
    <dataValidation type="custom" allowBlank="1" showInputMessage="1" showErrorMessage="1" sqref="A9:D9">
      <formula1>ISTEXT(A9)</formula1>
    </dataValidation>
    <dataValidation type="whole" allowBlank="1" showInputMessage="1" showErrorMessage="1" errorTitle="Año Incorrecto" error="Solo se permiten 4 caracteres numéricos." prompt="DD/mes/AAAA" sqref="D13:E13">
      <formula1>1900</formula1>
      <formula2>9999</formula2>
    </dataValidation>
    <dataValidation type="list" allowBlank="1" showInputMessage="1" showErrorMessage="1" errorTitle="Respuesta Errada" error="Debe seleccionar del menú desplegable._x000a_" prompt="DD/mes/AAAA" sqref="B13">
      <formula1>mes</formula1>
    </dataValidation>
    <dataValidation type="list" allowBlank="1" showInputMessage="1" showErrorMessage="1" errorTitle="Respuesta Errada" error="Debe seleccionar del menú desplegable." sqref="E47 O47 F13:M13 A19:D19 A26:D26 O87:R91">
      <formula1>Pais</formula1>
    </dataValidation>
    <dataValidation type="list" allowBlank="1" showInputMessage="1" showErrorMessage="1" errorTitle="Respuesta Errada" error="Debe seleccionar del menú desplegable." sqref="O19:T19">
      <formula1>INDIRECT($J$19)</formula1>
    </dataValidation>
    <dataValidation type="list" allowBlank="1" showInputMessage="1" showErrorMessage="1" errorTitle="Respuesta Errada" error="Debe seleccionar del menú desplegable." sqref="J19:M19">
      <formula1>INDIRECT($E$19)</formula1>
    </dataValidation>
    <dataValidation type="list" allowBlank="1" showInputMessage="1" showErrorMessage="1" errorTitle="Respuesta Errada" error="Debe seleccionar del menú desplegable." sqref="E19:I19">
      <formula1>INDIRECT($A$19)</formula1>
    </dataValidation>
    <dataValidation type="list" allowBlank="1" showInputMessage="1" showErrorMessage="1" errorTitle="Respuesta Errada" error="Debe seleccionar del menú desplegable." prompt="Si es cedula, elegir sigla, si tiene." sqref="E11">
      <formula1>INDIRECT($A$11)</formula1>
    </dataValidation>
    <dataValidation type="list" allowBlank="1" showInputMessage="1" showErrorMessage="1" errorTitle="Respuesta Errada" error="Debe seleccionar del menú desplegable" sqref="L11:N11">
      <formula1>Genero</formula1>
    </dataValidation>
    <dataValidation type="list" allowBlank="1" showInputMessage="1" showErrorMessage="1" errorTitle="Respuesta Errada" error="Debe seleccionar del menú desplegable." sqref="O11:T11">
      <formula1>estadocivil</formula1>
    </dataValidation>
    <dataValidation type="list" allowBlank="1" showInputMessage="1" showErrorMessage="1" errorTitle="Respuesta Errada" error="Debe seleccionar del menú desplegable." sqref="O26:T26">
      <formula1>INDIRECT($J$26)</formula1>
    </dataValidation>
    <dataValidation type="list" allowBlank="1" showInputMessage="1" showErrorMessage="1" errorTitle="Respuesta Errada" error="Debe seleccionar del menú desplegable." sqref="J26:N26">
      <formula1>INDIRECT($E$26)</formula1>
    </dataValidation>
    <dataValidation type="list" allowBlank="1" showInputMessage="1" showErrorMessage="1" errorTitle="Respuesta Errada" error="Debe seleccionar del menú desplegable." sqref="E26:I26">
      <formula1>INDIRECT($A$26)</formula1>
    </dataValidation>
    <dataValidation type="list" allowBlank="1" showInputMessage="1" showErrorMessage="1" errorTitle="Respuesta Errada" error="Debe seleccionar del menú desplegable." sqref="Y8">
      <formula1>empleados</formula1>
    </dataValidation>
    <dataValidation type="custom" operator="greaterThan" allowBlank="1" showInputMessage="1" showErrorMessage="1" errorTitle="Valor Invalido" error="Solo se permiten caracteres numéricos." sqref="R30">
      <formula1>ISNUMBER(R30)</formula1>
    </dataValidation>
    <dataValidation type="whole" allowBlank="1" showInputMessage="1" showErrorMessage="1" errorTitle="Celular Incorrecto" error="Solo se permiten 8 caracteres numéricos." sqref="W33:W36">
      <formula1>10000000</formula1>
      <formula2>99999999</formula2>
    </dataValidation>
    <dataValidation type="custom" allowBlank="1" showInputMessage="1" showErrorMessage="1" errorTitle="Correo Invalido" error="Asegúrese que el formato del correo electrónico sea el correcto. Debe contener @ y mínimo  &quot;.&quot;" sqref="I32 N15 N36">
      <formula1>OR(ISNUMBER(MATCH("*@*.???",I15,0)),ISNUMBER(MATCH("*@*.??",I15,0)))</formula1>
    </dataValidation>
    <dataValidation type="list" allowBlank="1" showInputMessage="1" showErrorMessage="1" errorTitle="Respuesta Errada" error="Debe seleccionar del menú desplegable." sqref="A34">
      <formula1>Actividadeconomica</formula1>
    </dataValidation>
    <dataValidation type="list" allowBlank="1" showInputMessage="1" showErrorMessage="1" errorTitle="Respuesta Errada" error="Debe seleccionar del menú desplegable." sqref="G15">
      <formula1>nro.dehijos</formula1>
    </dataValidation>
    <dataValidation allowBlank="1" showInputMessage="1" showErrorMessage="1" errorTitle="Respuesta Errada" error="Debe seleccionar del menú desplegable." sqref="G14 U99:U103"/>
    <dataValidation type="whole" allowBlank="1" showInputMessage="1" showErrorMessage="1" errorTitle="Año Incorrecto" error="Debe tener 4 caracteres numéricos." prompt="DD/mes/AAAA" sqref="S38:T39">
      <formula1>1900</formula1>
      <formula2>2100</formula2>
    </dataValidation>
    <dataValidation type="whole" allowBlank="1" showInputMessage="1" showErrorMessage="1" errorTitle="Año Incorrecto" error="Debe tener 4 caracteres numéricos." prompt="DD/mes/AAAA" sqref="U38:U39">
      <formula1>1900</formula1>
      <formula2>9999</formula2>
    </dataValidation>
    <dataValidation type="list" allowBlank="1" showInputMessage="1" showErrorMessage="1" errorTitle="Respuesta Errada" error="Debe seleccionar del menú desplegable." promptTitle="PEP" prompt="Si la respuesta es &quot;Si&quot;, debe completar esta sección. _x000a_" sqref="S40">
      <formula1>pep</formula1>
    </dataValidation>
    <dataValidation type="list" allowBlank="1" showInputMessage="1" showErrorMessage="1" errorTitle="Respuesta Errada" error="Debe seleccionar del menú desplegable." sqref="I39 P48:R48 P53:R53">
      <formula1>pep</formula1>
    </dataValidation>
    <dataValidation type="list" allowBlank="1" showInputMessage="1" showErrorMessage="1" errorTitle="Respuesta Errada" error="Debe seleccionar del menú desplegable." promptTitle="PEP" prompt="Si la respuesta es &quot;Si&quot;, debe completar esta sección._x000a_" sqref="P37:R37">
      <formula1>pep</formula1>
    </dataValidation>
    <dataValidation type="list" allowBlank="1" showInputMessage="1" showErrorMessage="1" errorTitle="Respuesta Errada" error="Debe seleccionar del menú desplegable." sqref="I45:Q45 I44:P45">
      <formula1>ingresosnat</formula1>
    </dataValidation>
    <dataValidation allowBlank="1" showInputMessage="1" showErrorMessage="1" promptTitle="PEP" prompt="Son aquellas personas que desempeñan o han desempeñado funciones publicas destacadas en un país extranjero o en su propio país." sqref="A37 A40"/>
    <dataValidation type="list" allowBlank="1" showInputMessage="1" showErrorMessage="1" errorTitle="Respuesta Errada" error="Debe seleccionar del menú desplegable." prompt="Si es Cedula: Elegir sigla, si tiene." sqref="E57">
      <formula1>INDIRECT($A$57)</formula1>
    </dataValidation>
    <dataValidation type="list" allowBlank="1" showInputMessage="1" showErrorMessage="1" errorTitle="Respuesta Errada" error="Debe seleccionar del menú desplegable." prompt="Si es Cedula: Elegir la provincia" sqref="F57">
      <formula1>INDIRECT($Z$55)</formula1>
    </dataValidation>
    <dataValidation type="list" allowBlank="1" showInputMessage="1" showErrorMessage="1" errorTitle="Respuesta Errada" error="Debe seleccionar del menú desplegable." sqref="A57:D57">
      <formula1>INDIRECT($A$55)</formula1>
    </dataValidation>
    <dataValidation type="list" allowBlank="1" showInputMessage="1" showErrorMessage="1" errorTitle="Respuesta Errada" error="Debe seleccionar del menú desplegable." sqref="A50:D50 A55:D55">
      <formula1>tipopersona</formula1>
    </dataValidation>
    <dataValidation type="custom" allowBlank="1" showInputMessage="1" showErrorMessage="1" errorTitle="Valor Invalido" error="Solo se permite texto" sqref="A87:F91">
      <formula1>ISTEXT(A87)</formula1>
    </dataValidation>
    <dataValidation type="list" allowBlank="1" showInputMessage="1" showErrorMessage="1" errorTitle="Respuesta Errada" error="Debe seleccionar del menú desplegable." prompt="Si es cedula, elegir la provincia" sqref="J87">
      <formula1>INDIRECT($X$87)</formula1>
    </dataValidation>
    <dataValidation type="list" allowBlank="1" showInputMessage="1" showErrorMessage="1" errorTitle="Respuesta Errada" error="Debe seleccionar del menú desplegable." prompt="Si es cedula, elegir la provincia" sqref="J88">
      <formula1>INDIRECT($X$88)</formula1>
    </dataValidation>
    <dataValidation type="list" allowBlank="1" showInputMessage="1" showErrorMessage="1" errorTitle="Respuesta Errada" error="Debe seleccionar del menú desplegable." prompt="Si es cedula, elegir la provincia" sqref="J91">
      <formula1>INDIRECT($X$91)</formula1>
    </dataValidation>
    <dataValidation type="list" allowBlank="1" showInputMessage="1" showErrorMessage="1" errorTitle="Respuesta Errada" error="Debe seleccionar del menú desplegable." prompt="Si es cedula, elegir sigla, si tiene." sqref="I87">
      <formula1>INDIRECT($G$87)</formula1>
    </dataValidation>
    <dataValidation type="list" allowBlank="1" showInputMessage="1" showErrorMessage="1" errorTitle="Respuesta Errada" error="Debe seleccionar del menú desplegable." prompt="Si es cedula, elegir sigla, si tiene." sqref="I88">
      <formula1>INDIRECT($G$88)</formula1>
    </dataValidation>
    <dataValidation type="list" allowBlank="1" showInputMessage="1" showErrorMessage="1" errorTitle="Respuesta Errada" error="Debe seleccionar del menú desplegable." prompt="Si es cedula, elegir sigla, si tiene." sqref="I91">
      <formula1>INDIRECT($G$91)</formula1>
    </dataValidation>
    <dataValidation allowBlank="1" showInputMessage="1" showErrorMessage="1" promptTitle="Directores y Dignatarios" prompt="En dado caso  de que la empresa cuente con estructura de directores y dignatarios es obligatorio colocarlo." sqref="A85:T85"/>
    <dataValidation type="list" allowBlank="1" showInputMessage="1" showErrorMessage="1" errorTitle="Respuesta Errada" error="Debe seleccionar del menú desplegable._x000a_" sqref="A11:D11 G88:G91 G87:H87">
      <formula1>Natural</formula1>
    </dataValidation>
    <dataValidation type="whole" allowBlank="1" showInputMessage="1" showErrorMessage="1" errorTitle="Valor Invalido" error="Solo se permiten valores numéricos de 1 a 100." sqref="S87:S91">
      <formula1>1</formula1>
      <formula2>100</formula2>
    </dataValidation>
    <dataValidation type="list" allowBlank="1" showInputMessage="1" showErrorMessage="1" errorTitle="Respuesta Errada" error="Debe seleccionar del menú desplegable." sqref="P60:Q60 AA63:AB66">
      <formula1>tipoflota</formula1>
    </dataValidation>
    <dataValidation type="list" allowBlank="1" showInputMessage="1" showErrorMessage="1" errorTitle="Respuesta Errada" error="Debe seleccionar del menú desplegable." sqref="A64:D64">
      <formula1>INDIRECT($P$60)</formula1>
    </dataValidation>
    <dataValidation type="list" allowBlank="1" showInputMessage="1" showErrorMessage="1" errorTitle="Respuesta Errada" error="Debe seleccionar del menú desplegable." sqref="R60 AC63:AC66">
      <formula1>usoauto</formula1>
    </dataValidation>
    <dataValidation type="list" allowBlank="1" showInputMessage="1" showErrorMessage="1" errorTitle="Respuesta Errada" error="Debe seleccionar del menú desplegable" sqref="D66">
      <formula1>INDIRECT($R$60)</formula1>
    </dataValidation>
    <dataValidation allowBlank="1" showInputMessage="1" showErrorMessage="1" errorTitle="Valor Invalido" error="Asegúrese que sea un valor numérico" sqref="P70"/>
    <dataValidation type="list" allowBlank="1" showInputMessage="1" showErrorMessage="1" errorTitle="Respuesta Errada" error="Debe seleccionar del menú desplegable." prompt="Debe llenar el campo de actividad para que las tarifas se desplieguen" sqref="B78:L78">
      <formula1>INDIRECT($D$66)</formula1>
    </dataValidation>
    <dataValidation type="list" allowBlank="1" showInputMessage="1" showErrorMessage="1" errorTitle="Respuesta Errada" error="Debe seleccionar del menú desplegable." sqref="N99">
      <formula1>INDIRECT($K$99)</formula1>
    </dataValidation>
    <dataValidation type="whole" allowBlank="1" showInputMessage="1" showErrorMessage="1" errorTitle="Año incorrecto" error="Debe ser un año vigente o futuro. Solo se permite un máximo de 4 caracteres numéricos." sqref="S97:T97">
      <formula1>2019</formula1>
      <formula2>2100</formula2>
    </dataValidation>
    <dataValidation type="textLength" allowBlank="1" showInputMessage="1" showErrorMessage="1" errorTitle="Numero invalido" error="Asegúrese de que contenga 16 dígitos numéricos." sqref="D97:H97">
      <formula1>16</formula1>
      <formula2>16</formula2>
    </dataValidation>
    <dataValidation type="list" allowBlank="1" showInputMessage="1" showErrorMessage="1" errorTitle="Respuesta Errada" error="Debe seleccionar del menú desplegable." sqref="A97:C97">
      <formula1>INDIRECT($E$93)</formula1>
    </dataValidation>
    <dataValidation type="list" allowBlank="1" showInputMessage="1" showErrorMessage="1" errorTitle="Respuesta Errada" error="Debe seleccionar del menú desplegable." sqref="N94:T94">
      <formula1>INDIRECT($Y$71)</formula1>
    </dataValidation>
    <dataValidation type="list" allowBlank="1" showInputMessage="1" showErrorMessage="1" errorTitle="Respuesta Errada" error="Debe seleccionar del menú desplegable." prompt="Si es Cedula: Elegir sigla, si tiene." sqref="O99">
      <formula1>INDIRECT($W$99)</formula1>
    </dataValidation>
    <dataValidation type="whole" allowBlank="1" showInputMessage="1" showErrorMessage="1" errorTitle="Año Incorrecto" error="Debe ser un año vigente." sqref="E107:G107 M134:M135">
      <formula1>2019</formula1>
      <formula2>3000</formula2>
    </dataValidation>
    <dataValidation type="list" allowBlank="1" showInputMessage="1" showErrorMessage="1" errorTitle="Respuesta Errada" error="Debe seleccionar del menú desplegable." sqref="B107 J134:K134">
      <formula1>dia</formula1>
    </dataValidation>
    <dataValidation type="whole" allowBlank="1" showInputMessage="1" showErrorMessage="1" errorTitle="Valor Invalido" error="Solo se permiten valores numericos del 1 al 100." sqref="P140:P142 U141:U142">
      <formula1>1</formula1>
      <formula2>100</formula2>
    </dataValidation>
    <dataValidation type="list" allowBlank="1" showInputMessage="1" showErrorMessage="1" errorTitle="Respuesta Errada" error="Debe seleccionar del menú desplegable." sqref="N71:T71">
      <formula1>INDIRECT($Y$69)</formula1>
    </dataValidation>
    <dataValidation type="list" allowBlank="1" showInputMessage="1" showErrorMessage="1" errorTitle="Respuesta Errada" error="Debe seleccionar del menú desplegable." sqref="A15:F15">
      <formula1>ocupacion</formula1>
    </dataValidation>
    <dataValidation type="whole" allowBlank="1" showInputMessage="1" showErrorMessage="1" errorTitle="Celular Errado" error="Solo se permiten 8 caracteres numéricos" sqref="I15:K15">
      <formula1>10000000</formula1>
      <formula2>99999999</formula2>
    </dataValidation>
    <dataValidation type="whole" allowBlank="1" showInputMessage="1" showErrorMessage="1" errorTitle="Teléfono Errado" error="Solo se permiten 7 caracteres numéricos." sqref="L15:M15 O30:Q30">
      <formula1>1000000</formula1>
      <formula2>9999999</formula2>
    </dataValidation>
    <dataValidation type="list" allowBlank="1" showInputMessage="1" showErrorMessage="1" errorTitle="Respuesta Errada" error="Debe seleccionar del menú desplegable." sqref="A36:G36">
      <formula1>Diremail</formula1>
    </dataValidation>
    <dataValidation type="list" allowBlank="1" showInputMessage="1" showErrorMessage="1" errorTitle="Respuesta Errada" error="Debe seleccionar del menú desplegable." prompt="Si es Cedula: Elegir sigla, si tiene." sqref="E52">
      <formula1>INDIRECT($A$52)</formula1>
    </dataValidation>
    <dataValidation type="list" allowBlank="1" showInputMessage="1" showErrorMessage="1" errorTitle="Respuesta Errada" error="Debe seleccionar del menú desplegable." prompt="Si es Cedula: Elegir la provincia" sqref="F52">
      <formula1>INDIRECT($Z$50)</formula1>
    </dataValidation>
    <dataValidation type="list" allowBlank="1" showInputMessage="1" showErrorMessage="1" errorTitle="Respuesta Errada" error="Debe seleccionar del menú desplegable." sqref="A52:D52">
      <formula1>INDIRECT($A$50)</formula1>
    </dataValidation>
    <dataValidation type="list" allowBlank="1" showInputMessage="1" showErrorMessage="1" errorTitle="Respuesta Errada" error="Debe seleccionar del menú desplegable." prompt="Si es cobertura completa, se permiten hasta 10 pagos. Si es daños a terceros, solo se permite un pago cuando la prima es menor que B/.300." sqref="L60:O60">
      <formula1>autocobertura</formula1>
    </dataValidation>
    <dataValidation type="list" allowBlank="1" showInputMessage="1" showErrorMessage="1" errorTitle="Respuesta Errada" error="Debe seleccionar del menú desplegable." prompt="Si es cedula, elegir sigla, si tiene." sqref="I90">
      <formula1>INDIRECT($G$90)</formula1>
    </dataValidation>
    <dataValidation type="list" allowBlank="1" showInputMessage="1" showErrorMessage="1" errorTitle="Respuesta Errada" error="Debe seleccionar del menú desplegable." prompt="Si es cedula, elegir la provincia" sqref="J90">
      <formula1>INDIRECT($X$90)</formula1>
    </dataValidation>
    <dataValidation type="list" allowBlank="1" showInputMessage="1" showErrorMessage="1" errorTitle="Respuesta Errada" error="Debe seleccionar del menú desplegable." prompt="Si es cedula, elegir sigla, si tiene." sqref="I89">
      <formula1>INDIRECT($G$89)</formula1>
    </dataValidation>
    <dataValidation type="list" allowBlank="1" showInputMessage="1" showErrorMessage="1" errorTitle="Respuesta Errada" error="Debe seleccionar del menú desplegable." prompt="Si es cedula, elegir la provincia" sqref="J89">
      <formula1>INDIRECT($X$89)</formula1>
    </dataValidation>
  </dataValidations>
  <printOptions horizontalCentered="1"/>
  <pageMargins left="0" right="0" top="0" bottom="0.70866141732283461" header="0" footer="0"/>
  <pageSetup scale="57" orientation="portrait" horizontalDpi="1200" verticalDpi="1200" r:id="rId1"/>
  <headerFooter>
    <oddFooter>&amp;L&amp;"Arial,Normal"&amp;12Plaza Marbella, Calle Aquilino de la Guardia, entre calle 47 y 48. Apartado 0831-0784
Ciudad de Panamá
Teléfono: 205-0700
www.segurossura.com.pa
&amp;G  Regulado y Supervisado por La Superintendencia de Seguros y Reaseguros de Panamá</oddFooter>
  </headerFooter>
  <rowBreaks count="3" manualBreakCount="3">
    <brk id="52" max="19" man="1"/>
    <brk id="99" max="19" man="1"/>
    <brk id="137" max="19" man="1"/>
  </rowBreaks>
  <colBreaks count="1" manualBreakCount="1">
    <brk id="33"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61" r:id="rId5" name="Button 37">
              <controlPr defaultSize="0" print="0" autoFill="0" autoPict="0" macro="[0]!limpiar">
                <anchor moveWithCells="1" sizeWithCells="1">
                  <from>
                    <xdr:col>8</xdr:col>
                    <xdr:colOff>228600</xdr:colOff>
                    <xdr:row>1</xdr:row>
                    <xdr:rowOff>9525</xdr:rowOff>
                  </from>
                  <to>
                    <xdr:col>10</xdr:col>
                    <xdr:colOff>381000</xdr:colOff>
                    <xdr:row>2</xdr:row>
                    <xdr:rowOff>66675</xdr:rowOff>
                  </to>
                </anchor>
              </controlPr>
            </control>
          </mc:Choice>
        </mc:AlternateContent>
        <mc:AlternateContent xmlns:mc="http://schemas.openxmlformats.org/markup-compatibility/2006">
          <mc:Choice Requires="x14">
            <control shapeId="1062" r:id="rId6" name="Button 38">
              <controlPr defaultSize="0" print="0" autoFill="0" autoPict="0" macro="[0]!imprimir">
                <anchor moveWithCells="1" sizeWithCells="1">
                  <from>
                    <xdr:col>10</xdr:col>
                    <xdr:colOff>457200</xdr:colOff>
                    <xdr:row>1</xdr:row>
                    <xdr:rowOff>9525</xdr:rowOff>
                  </from>
                  <to>
                    <xdr:col>13</xdr:col>
                    <xdr:colOff>304800</xdr:colOff>
                    <xdr:row>2</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A42"/>
  <sheetViews>
    <sheetView workbookViewId="0">
      <selection activeCell="B1" sqref="B1"/>
    </sheetView>
  </sheetViews>
  <sheetFormatPr baseColWidth="10" defaultRowHeight="15" x14ac:dyDescent="0.25"/>
  <cols>
    <col min="1" max="1" width="4.5703125" style="87" bestFit="1" customWidth="1"/>
    <col min="2" max="2" width="13.140625" style="87" bestFit="1" customWidth="1"/>
    <col min="3" max="3" width="37" style="87" bestFit="1" customWidth="1"/>
    <col min="4" max="7" width="7" style="87" hidden="1" customWidth="1"/>
    <col min="8" max="8" width="9.7109375" style="87" bestFit="1" customWidth="1"/>
    <col min="9" max="9" width="9.5703125" style="87" bestFit="1" customWidth="1"/>
    <col min="10" max="14" width="10.5703125" style="87" bestFit="1" customWidth="1"/>
    <col min="15" max="15" width="11.42578125" style="87"/>
    <col min="16" max="16" width="41.28515625" style="87" bestFit="1" customWidth="1"/>
    <col min="17" max="18" width="42.42578125" style="87" bestFit="1" customWidth="1"/>
    <col min="19" max="19" width="41.7109375" style="87" customWidth="1"/>
    <col min="20" max="20" width="41.28515625" style="87" bestFit="1" customWidth="1"/>
    <col min="21" max="21" width="43.42578125" style="87" bestFit="1" customWidth="1"/>
    <col min="22" max="22" width="42.42578125" style="87" bestFit="1" customWidth="1"/>
    <col min="23" max="23" width="41.28515625" style="87" bestFit="1" customWidth="1"/>
    <col min="24" max="26" width="42.42578125" style="87" bestFit="1" customWidth="1"/>
    <col min="27" max="27" width="43.42578125" style="87" bestFit="1" customWidth="1"/>
    <col min="28" max="16384" width="11.42578125" style="87"/>
  </cols>
  <sheetData>
    <row r="1" spans="1:26" x14ac:dyDescent="0.25">
      <c r="B1" s="87">
        <f>+'Persona Natural'!Y68</f>
        <v>0</v>
      </c>
    </row>
    <row r="2" spans="1:26" x14ac:dyDescent="0.25">
      <c r="B2" s="617" t="s">
        <v>1818</v>
      </c>
      <c r="C2" s="89" t="s">
        <v>1819</v>
      </c>
      <c r="D2" s="89">
        <v>1000</v>
      </c>
      <c r="E2" s="89">
        <v>2000</v>
      </c>
      <c r="F2" s="89">
        <v>3000</v>
      </c>
      <c r="G2" s="89">
        <v>4000</v>
      </c>
      <c r="H2" s="89">
        <v>5000</v>
      </c>
      <c r="I2" s="89">
        <v>7000</v>
      </c>
      <c r="J2" s="89">
        <v>10000</v>
      </c>
      <c r="K2" s="89">
        <v>15000</v>
      </c>
      <c r="L2" s="89">
        <v>20000</v>
      </c>
      <c r="M2" s="89">
        <v>25000</v>
      </c>
      <c r="N2" s="89">
        <v>30000</v>
      </c>
    </row>
    <row r="3" spans="1:26" x14ac:dyDescent="0.25">
      <c r="B3" s="617"/>
      <c r="C3" s="89" t="s">
        <v>1820</v>
      </c>
      <c r="D3" s="89">
        <v>500</v>
      </c>
      <c r="E3" s="89">
        <v>500</v>
      </c>
      <c r="F3" s="89">
        <v>500</v>
      </c>
      <c r="G3" s="89">
        <v>500</v>
      </c>
      <c r="H3" s="89">
        <v>500</v>
      </c>
      <c r="I3" s="89">
        <v>1000</v>
      </c>
      <c r="J3" s="89">
        <v>1000</v>
      </c>
      <c r="K3" s="89">
        <v>1500</v>
      </c>
      <c r="L3" s="89">
        <v>2000</v>
      </c>
      <c r="M3" s="89">
        <v>2500</v>
      </c>
      <c r="N3" s="89">
        <v>3000</v>
      </c>
    </row>
    <row r="4" spans="1:26" x14ac:dyDescent="0.25">
      <c r="A4" s="90">
        <v>0.35</v>
      </c>
      <c r="B4" s="616" t="s">
        <v>1821</v>
      </c>
      <c r="C4" s="91" t="s">
        <v>1415</v>
      </c>
      <c r="D4" s="92">
        <f>3.22*$B$1</f>
        <v>0</v>
      </c>
      <c r="E4" s="92">
        <f>3.57*$B$1</f>
        <v>0</v>
      </c>
      <c r="F4" s="92">
        <f>3.92*$B$1</f>
        <v>0</v>
      </c>
      <c r="G4" s="92">
        <f>4.27*$B$1</f>
        <v>0</v>
      </c>
      <c r="H4" s="92">
        <f>4.62*$B$1</f>
        <v>0</v>
      </c>
      <c r="I4" s="92">
        <f>6.65*B1</f>
        <v>0</v>
      </c>
      <c r="J4" s="92">
        <f>7.7*$B$1</f>
        <v>0</v>
      </c>
      <c r="K4" s="92">
        <f>10.85*$B$1</f>
        <v>0</v>
      </c>
      <c r="L4" s="92">
        <f>14.35*$B$1</f>
        <v>0</v>
      </c>
      <c r="M4" s="92">
        <f>17.5*$B$1</f>
        <v>0</v>
      </c>
      <c r="N4" s="92">
        <f>21*$B$1</f>
        <v>0</v>
      </c>
      <c r="P4" s="93"/>
      <c r="Q4" s="93"/>
      <c r="R4" s="93"/>
      <c r="S4" s="93"/>
      <c r="T4" s="93"/>
      <c r="U4" s="93"/>
      <c r="V4" s="93"/>
      <c r="W4" s="93"/>
      <c r="X4" s="93"/>
      <c r="Y4" s="93"/>
      <c r="Z4" s="93"/>
    </row>
    <row r="5" spans="1:26" x14ac:dyDescent="0.25">
      <c r="A5" s="90">
        <v>1.1000000000000001</v>
      </c>
      <c r="B5" s="616"/>
      <c r="C5" s="91" t="s">
        <v>1836</v>
      </c>
      <c r="D5" s="92">
        <f>10.12*$B$1</f>
        <v>0</v>
      </c>
      <c r="E5" s="92">
        <f>11.22*$B$1</f>
        <v>0</v>
      </c>
      <c r="F5" s="92">
        <f>12.32*$B$1</f>
        <v>0</v>
      </c>
      <c r="G5" s="92">
        <f>13.42*$B$1</f>
        <v>0</v>
      </c>
      <c r="H5" s="92">
        <f>14.52*$B$1</f>
        <v>0</v>
      </c>
      <c r="I5" s="92">
        <f>20.9*B1</f>
        <v>0</v>
      </c>
      <c r="J5" s="92">
        <f>24.2*$B$1</f>
        <v>0</v>
      </c>
      <c r="K5" s="92">
        <f>34.1*$B$1</f>
        <v>0</v>
      </c>
      <c r="L5" s="92">
        <f>45.1*$B$1</f>
        <v>0</v>
      </c>
      <c r="M5" s="92">
        <f>55*$B$1</f>
        <v>0</v>
      </c>
      <c r="N5" s="92">
        <f>66*$B$1</f>
        <v>0</v>
      </c>
      <c r="O5" s="88"/>
      <c r="P5" s="93"/>
      <c r="Q5" s="93"/>
      <c r="R5" s="93"/>
      <c r="S5" s="93"/>
      <c r="T5" s="93"/>
      <c r="U5" s="93"/>
      <c r="V5" s="93"/>
      <c r="W5" s="93"/>
      <c r="X5" s="93"/>
      <c r="Y5" s="93"/>
      <c r="Z5" s="93"/>
    </row>
    <row r="6" spans="1:26" x14ac:dyDescent="0.25">
      <c r="A6" s="90">
        <v>0.45</v>
      </c>
      <c r="B6" s="616"/>
      <c r="C6" s="91" t="s">
        <v>1805</v>
      </c>
      <c r="D6" s="92">
        <f>4.14*$B$1</f>
        <v>0</v>
      </c>
      <c r="E6" s="92">
        <f>4.59*$B$1</f>
        <v>0</v>
      </c>
      <c r="F6" s="92">
        <f>5.04*$B$1</f>
        <v>0</v>
      </c>
      <c r="G6" s="92">
        <f>5.49*$B$1</f>
        <v>0</v>
      </c>
      <c r="H6" s="92">
        <f>5.94*$B$1</f>
        <v>0</v>
      </c>
      <c r="I6" s="92">
        <f>8.55*B1</f>
        <v>0</v>
      </c>
      <c r="J6" s="92">
        <f>9.9*$B$1</f>
        <v>0</v>
      </c>
      <c r="K6" s="92">
        <f>13.95*$B$1</f>
        <v>0</v>
      </c>
      <c r="L6" s="92">
        <f>18.45*$B$1</f>
        <v>0</v>
      </c>
      <c r="M6" s="92">
        <f>22.5*$B$1</f>
        <v>0</v>
      </c>
      <c r="N6" s="92">
        <f>27*$B$1</f>
        <v>0</v>
      </c>
      <c r="O6" s="88"/>
      <c r="P6" s="93"/>
      <c r="Q6" s="93"/>
      <c r="R6" s="93"/>
      <c r="S6" s="93"/>
      <c r="T6" s="93"/>
      <c r="U6" s="93"/>
      <c r="V6" s="93"/>
      <c r="W6" s="93"/>
      <c r="X6" s="93"/>
      <c r="Y6" s="93"/>
      <c r="Z6" s="93"/>
    </row>
    <row r="7" spans="1:26" x14ac:dyDescent="0.25">
      <c r="A7" s="90">
        <v>0.4</v>
      </c>
      <c r="B7" s="616"/>
      <c r="C7" s="91" t="s">
        <v>1806</v>
      </c>
      <c r="D7" s="92">
        <f>3.68*$B$1</f>
        <v>0</v>
      </c>
      <c r="E7" s="92">
        <f>4.08*$B$1</f>
        <v>0</v>
      </c>
      <c r="F7" s="92">
        <f>4.48*$B$1</f>
        <v>0</v>
      </c>
      <c r="G7" s="92">
        <f>4.88*$B$1</f>
        <v>0</v>
      </c>
      <c r="H7" s="92">
        <f>5.28*$B$1</f>
        <v>0</v>
      </c>
      <c r="I7" s="92">
        <f>7.6*B1</f>
        <v>0</v>
      </c>
      <c r="J7" s="92">
        <f>8.8*$B$1</f>
        <v>0</v>
      </c>
      <c r="K7" s="92">
        <f>12.4*$B$1</f>
        <v>0</v>
      </c>
      <c r="L7" s="92">
        <f>16.4*$B$1</f>
        <v>0</v>
      </c>
      <c r="M7" s="92">
        <f>20*$B$1</f>
        <v>0</v>
      </c>
      <c r="N7" s="92">
        <f>24*$B$1</f>
        <v>0</v>
      </c>
      <c r="O7" s="88"/>
      <c r="P7" s="93"/>
      <c r="Q7" s="93"/>
      <c r="R7" s="93"/>
      <c r="S7" s="93"/>
      <c r="T7" s="93"/>
      <c r="U7" s="93"/>
      <c r="V7" s="93"/>
      <c r="W7" s="93"/>
      <c r="X7" s="93"/>
      <c r="Y7" s="93"/>
      <c r="Z7" s="93"/>
    </row>
    <row r="8" spans="1:26" x14ac:dyDescent="0.25">
      <c r="A8" s="90">
        <v>0.35</v>
      </c>
      <c r="B8" s="616"/>
      <c r="C8" s="91" t="s">
        <v>1807</v>
      </c>
      <c r="D8" s="92">
        <f>3.22*$B$1</f>
        <v>0</v>
      </c>
      <c r="E8" s="92">
        <f>3.57*$B$1</f>
        <v>0</v>
      </c>
      <c r="F8" s="92">
        <f>3.92*$B$1</f>
        <v>0</v>
      </c>
      <c r="G8" s="92">
        <f>4.27*$B$1</f>
        <v>0</v>
      </c>
      <c r="H8" s="92">
        <f>4.62*$B$1</f>
        <v>0</v>
      </c>
      <c r="I8" s="92">
        <f>6.65*B1</f>
        <v>0</v>
      </c>
      <c r="J8" s="92">
        <f>7.7*$B$1</f>
        <v>0</v>
      </c>
      <c r="K8" s="92">
        <f>10.85*$B$1</f>
        <v>0</v>
      </c>
      <c r="L8" s="92">
        <f>14.35*$B$1</f>
        <v>0</v>
      </c>
      <c r="M8" s="92">
        <f>17.5*$B$1</f>
        <v>0</v>
      </c>
      <c r="N8" s="92">
        <f>21*$B$1</f>
        <v>0</v>
      </c>
      <c r="O8" s="88"/>
      <c r="P8" s="93"/>
      <c r="Q8" s="93"/>
      <c r="R8" s="93"/>
      <c r="S8" s="93"/>
      <c r="T8" s="93"/>
      <c r="U8" s="93"/>
      <c r="V8" s="93"/>
      <c r="W8" s="93"/>
      <c r="X8" s="93"/>
      <c r="Y8" s="93"/>
      <c r="Z8" s="93"/>
    </row>
    <row r="9" spans="1:26" x14ac:dyDescent="0.25">
      <c r="A9" s="90">
        <v>0.95</v>
      </c>
      <c r="B9" s="616"/>
      <c r="C9" s="91" t="s">
        <v>1808</v>
      </c>
      <c r="D9" s="92">
        <f>8.74*$B$1</f>
        <v>0</v>
      </c>
      <c r="E9" s="92">
        <f>9.69*$B$1</f>
        <v>0</v>
      </c>
      <c r="F9" s="92">
        <f>10.64*$B$1</f>
        <v>0</v>
      </c>
      <c r="G9" s="92">
        <f>11.59*$B$1</f>
        <v>0</v>
      </c>
      <c r="H9" s="92">
        <f>12.54*$B$1</f>
        <v>0</v>
      </c>
      <c r="I9" s="92">
        <f>18.05*B1</f>
        <v>0</v>
      </c>
      <c r="J9" s="92">
        <f>20.9*$B$1</f>
        <v>0</v>
      </c>
      <c r="K9" s="92">
        <f>29.45*$B$1</f>
        <v>0</v>
      </c>
      <c r="L9" s="92">
        <f>38.95*$B$1</f>
        <v>0</v>
      </c>
      <c r="M9" s="92">
        <f>47.5*$B$1</f>
        <v>0</v>
      </c>
      <c r="N9" s="92">
        <f>57*$B$1</f>
        <v>0</v>
      </c>
      <c r="O9" s="88"/>
      <c r="P9" s="93"/>
      <c r="Q9" s="93"/>
      <c r="R9" s="93"/>
      <c r="S9" s="93"/>
      <c r="T9" s="93"/>
      <c r="U9" s="93"/>
      <c r="V9" s="93"/>
      <c r="W9" s="93"/>
      <c r="X9" s="93"/>
      <c r="Y9" s="93"/>
      <c r="Z9" s="93"/>
    </row>
    <row r="10" spans="1:26" x14ac:dyDescent="0.25">
      <c r="A10" s="90">
        <v>0.5</v>
      </c>
      <c r="B10" s="616"/>
      <c r="C10" s="91" t="s">
        <v>1809</v>
      </c>
      <c r="D10" s="92">
        <f>4.6*$B$1</f>
        <v>0</v>
      </c>
      <c r="E10" s="92">
        <f>5.1*$B$1</f>
        <v>0</v>
      </c>
      <c r="F10" s="92">
        <f>5.6*$B$1</f>
        <v>0</v>
      </c>
      <c r="G10" s="92">
        <f>6.1*$B$1</f>
        <v>0</v>
      </c>
      <c r="H10" s="92">
        <f>6.6*$B$1</f>
        <v>0</v>
      </c>
      <c r="I10" s="92">
        <f>9.5*B1</f>
        <v>0</v>
      </c>
      <c r="J10" s="92">
        <f>11*$B$1</f>
        <v>0</v>
      </c>
      <c r="K10" s="92">
        <f>15.5*$B$1</f>
        <v>0</v>
      </c>
      <c r="L10" s="92">
        <f>20.5*$B$1</f>
        <v>0</v>
      </c>
      <c r="M10" s="92">
        <f>25*$B$1</f>
        <v>0</v>
      </c>
      <c r="N10" s="92">
        <f>30*$B$1</f>
        <v>0</v>
      </c>
      <c r="O10" s="88"/>
      <c r="P10" s="93"/>
      <c r="Q10" s="93"/>
      <c r="R10" s="93"/>
      <c r="S10" s="93"/>
      <c r="T10" s="93"/>
      <c r="U10" s="93"/>
      <c r="V10" s="93"/>
      <c r="W10" s="93"/>
      <c r="X10" s="93"/>
      <c r="Y10" s="93"/>
      <c r="Z10" s="93"/>
    </row>
    <row r="11" spans="1:26" x14ac:dyDescent="0.25">
      <c r="A11" s="90">
        <v>0.4</v>
      </c>
      <c r="B11" s="616"/>
      <c r="C11" s="91" t="s">
        <v>1810</v>
      </c>
      <c r="D11" s="92">
        <f>3.68*$B$1</f>
        <v>0</v>
      </c>
      <c r="E11" s="92">
        <f>4.08*$B$1</f>
        <v>0</v>
      </c>
      <c r="F11" s="92">
        <f>4.48*$B$1</f>
        <v>0</v>
      </c>
      <c r="G11" s="92">
        <f>4.88*$B$1</f>
        <v>0</v>
      </c>
      <c r="H11" s="92">
        <f>5.28*$B$1</f>
        <v>0</v>
      </c>
      <c r="I11" s="92">
        <f>7.6*B1</f>
        <v>0</v>
      </c>
      <c r="J11" s="92">
        <f>8.8*$B$1</f>
        <v>0</v>
      </c>
      <c r="K11" s="92">
        <f>12.4*$B$1</f>
        <v>0</v>
      </c>
      <c r="L11" s="92">
        <f>16.4*$B$1</f>
        <v>0</v>
      </c>
      <c r="M11" s="92">
        <f>20*$B$1</f>
        <v>0</v>
      </c>
      <c r="N11" s="92">
        <f>24*$B$1</f>
        <v>0</v>
      </c>
      <c r="O11" s="88"/>
      <c r="P11" s="93"/>
      <c r="Q11" s="93"/>
      <c r="R11" s="93"/>
      <c r="S11" s="93"/>
      <c r="T11" s="93"/>
      <c r="U11" s="93"/>
      <c r="V11" s="93"/>
      <c r="W11" s="93"/>
      <c r="X11" s="93"/>
      <c r="Y11" s="93"/>
      <c r="Z11" s="93"/>
    </row>
    <row r="12" spans="1:26" x14ac:dyDescent="0.25">
      <c r="A12" s="90">
        <v>0.5</v>
      </c>
      <c r="B12" s="616"/>
      <c r="C12" s="91" t="s">
        <v>1811</v>
      </c>
      <c r="D12" s="92">
        <f>4.6*$B$1</f>
        <v>0</v>
      </c>
      <c r="E12" s="92">
        <f>5.1*$B$1</f>
        <v>0</v>
      </c>
      <c r="F12" s="92">
        <f>5.6*$B$1</f>
        <v>0</v>
      </c>
      <c r="G12" s="92">
        <f>6.1*$B$1</f>
        <v>0</v>
      </c>
      <c r="H12" s="92">
        <f>6.6*$B$1</f>
        <v>0</v>
      </c>
      <c r="I12" s="92">
        <f>9.5*B1</f>
        <v>0</v>
      </c>
      <c r="J12" s="92">
        <f>11*$B$1</f>
        <v>0</v>
      </c>
      <c r="K12" s="92">
        <f>15.5*$B$1</f>
        <v>0</v>
      </c>
      <c r="L12" s="92">
        <f>20.5*$B$1</f>
        <v>0</v>
      </c>
      <c r="M12" s="92">
        <f>25*$B$1</f>
        <v>0</v>
      </c>
      <c r="N12" s="92">
        <f>30*$B$1</f>
        <v>0</v>
      </c>
      <c r="O12" s="88"/>
      <c r="P12" s="93"/>
      <c r="Q12" s="93"/>
      <c r="R12" s="93"/>
      <c r="S12" s="93"/>
      <c r="T12" s="93"/>
      <c r="U12" s="93"/>
      <c r="V12" s="93"/>
      <c r="W12" s="93"/>
      <c r="X12" s="93"/>
      <c r="Y12" s="93"/>
      <c r="Z12" s="93"/>
    </row>
    <row r="13" spans="1:26" x14ac:dyDescent="0.25">
      <c r="A13" s="90">
        <v>0.68</v>
      </c>
      <c r="B13" s="616"/>
      <c r="C13" s="91" t="s">
        <v>1812</v>
      </c>
      <c r="D13" s="92">
        <f>6.256*$B$1</f>
        <v>0</v>
      </c>
      <c r="E13" s="92">
        <f>6.936*$B$1</f>
        <v>0</v>
      </c>
      <c r="F13" s="92">
        <f>7.616*$B$1</f>
        <v>0</v>
      </c>
      <c r="G13" s="92">
        <f>8.296*$B$1</f>
        <v>0</v>
      </c>
      <c r="H13" s="92">
        <f>8.976*$B$1</f>
        <v>0</v>
      </c>
      <c r="I13" s="92">
        <f>12.92*B1</f>
        <v>0</v>
      </c>
      <c r="J13" s="92">
        <f>14.96*$B$1</f>
        <v>0</v>
      </c>
      <c r="K13" s="92">
        <f>21.08*$B$1</f>
        <v>0</v>
      </c>
      <c r="L13" s="92">
        <f>27.88*$B$1</f>
        <v>0</v>
      </c>
      <c r="M13" s="92">
        <f>34*$B$1</f>
        <v>0</v>
      </c>
      <c r="N13" s="92">
        <f>40.8*$B$1</f>
        <v>0</v>
      </c>
      <c r="O13" s="88"/>
      <c r="P13" s="93"/>
      <c r="Q13" s="93"/>
      <c r="R13" s="93"/>
      <c r="S13" s="93"/>
      <c r="T13" s="93"/>
      <c r="U13" s="93"/>
      <c r="V13" s="93"/>
      <c r="W13" s="93"/>
      <c r="X13" s="93"/>
      <c r="Y13" s="93"/>
      <c r="Z13" s="93"/>
    </row>
    <row r="14" spans="1:26" x14ac:dyDescent="0.25">
      <c r="A14" s="90">
        <v>2.06</v>
      </c>
      <c r="B14" s="616"/>
      <c r="C14" s="91" t="s">
        <v>1813</v>
      </c>
      <c r="D14" s="92">
        <f>18.952*$B$1</f>
        <v>0</v>
      </c>
      <c r="E14" s="92">
        <f>21.012*$B$1</f>
        <v>0</v>
      </c>
      <c r="F14" s="92">
        <f>23.072*$B$1</f>
        <v>0</v>
      </c>
      <c r="G14" s="92">
        <f>25.132*$B$1</f>
        <v>0</v>
      </c>
      <c r="H14" s="92">
        <f>27.192*$B$1</f>
        <v>0</v>
      </c>
      <c r="I14" s="92">
        <f>39.14*B1</f>
        <v>0</v>
      </c>
      <c r="J14" s="92">
        <f>45.32*$B$1</f>
        <v>0</v>
      </c>
      <c r="K14" s="92">
        <f>63.86*$B$1</f>
        <v>0</v>
      </c>
      <c r="L14" s="92">
        <f>84.46*$B$1</f>
        <v>0</v>
      </c>
      <c r="M14" s="92">
        <f>103*$B$1</f>
        <v>0</v>
      </c>
      <c r="N14" s="92">
        <f>123.6*$B$1</f>
        <v>0</v>
      </c>
      <c r="O14" s="88"/>
      <c r="P14" s="93"/>
      <c r="Q14" s="93"/>
      <c r="R14" s="93"/>
      <c r="S14" s="93"/>
      <c r="T14" s="93"/>
      <c r="U14" s="93"/>
      <c r="V14" s="93"/>
      <c r="W14" s="93"/>
      <c r="X14" s="93"/>
      <c r="Y14" s="93"/>
      <c r="Z14" s="93"/>
    </row>
    <row r="16" spans="1:26" x14ac:dyDescent="0.25">
      <c r="B16" s="617" t="s">
        <v>1117</v>
      </c>
      <c r="C16" s="89" t="s">
        <v>1819</v>
      </c>
      <c r="D16" s="89">
        <v>1000</v>
      </c>
      <c r="E16" s="89">
        <v>2000</v>
      </c>
      <c r="F16" s="89">
        <v>3000</v>
      </c>
      <c r="G16" s="89">
        <v>4000</v>
      </c>
      <c r="H16" s="89">
        <v>5000</v>
      </c>
      <c r="I16" s="89">
        <v>7000</v>
      </c>
      <c r="J16" s="89">
        <v>10000</v>
      </c>
      <c r="K16" s="89">
        <v>15000</v>
      </c>
      <c r="L16" s="89">
        <v>20000</v>
      </c>
      <c r="M16" s="89">
        <v>25000</v>
      </c>
      <c r="N16" s="89">
        <v>30000</v>
      </c>
      <c r="Q16" s="88"/>
      <c r="R16" s="88"/>
      <c r="S16" s="88"/>
      <c r="T16" s="88"/>
      <c r="U16" s="88"/>
      <c r="V16" s="88"/>
      <c r="W16" s="88"/>
      <c r="X16" s="88"/>
      <c r="Y16" s="88"/>
      <c r="Z16" s="88"/>
    </row>
    <row r="17" spans="1:27" x14ac:dyDescent="0.25">
      <c r="B17" s="617"/>
      <c r="C17" s="89" t="s">
        <v>1820</v>
      </c>
      <c r="D17" s="89">
        <v>500</v>
      </c>
      <c r="E17" s="89">
        <v>500</v>
      </c>
      <c r="F17" s="89">
        <v>500</v>
      </c>
      <c r="G17" s="89">
        <v>500</v>
      </c>
      <c r="H17" s="89">
        <v>500</v>
      </c>
      <c r="I17" s="89">
        <v>1000</v>
      </c>
      <c r="J17" s="89">
        <v>1000</v>
      </c>
      <c r="K17" s="89">
        <v>1500</v>
      </c>
      <c r="L17" s="89">
        <v>2000</v>
      </c>
      <c r="M17" s="89">
        <v>2500</v>
      </c>
      <c r="N17" s="89">
        <v>3000</v>
      </c>
      <c r="P17" s="88"/>
      <c r="Q17" s="88"/>
      <c r="R17" s="88"/>
      <c r="S17" s="88"/>
      <c r="T17" s="88"/>
      <c r="U17" s="88"/>
      <c r="V17" s="88"/>
      <c r="W17" s="88"/>
      <c r="X17" s="88"/>
      <c r="Y17" s="88"/>
      <c r="Z17" s="88"/>
    </row>
    <row r="18" spans="1:27" x14ac:dyDescent="0.25">
      <c r="A18" s="90">
        <v>0.35</v>
      </c>
      <c r="B18" s="616" t="s">
        <v>1821</v>
      </c>
      <c r="C18" s="91" t="s">
        <v>1415</v>
      </c>
      <c r="D18" s="92">
        <v>4.76</v>
      </c>
      <c r="E18" s="92">
        <v>5.3199999999999994</v>
      </c>
      <c r="F18" s="92">
        <v>5.88</v>
      </c>
      <c r="G18" s="92">
        <v>6.4399999999999995</v>
      </c>
      <c r="H18" s="92">
        <v>7</v>
      </c>
      <c r="I18" s="92">
        <v>11.473000000000001</v>
      </c>
      <c r="J18" s="92">
        <v>13.152999999999999</v>
      </c>
      <c r="K18" s="92">
        <v>17.849999999999998</v>
      </c>
      <c r="L18" s="92">
        <v>25.024999999999999</v>
      </c>
      <c r="M18" s="92">
        <v>29.749999999999996</v>
      </c>
      <c r="N18" s="92">
        <v>35.524999999999999</v>
      </c>
      <c r="P18" s="88"/>
      <c r="Q18" s="88"/>
      <c r="R18" s="88"/>
      <c r="S18" s="88"/>
      <c r="T18" s="88"/>
      <c r="U18" s="88"/>
      <c r="V18" s="88"/>
      <c r="W18" s="88"/>
      <c r="X18" s="88"/>
      <c r="Y18" s="88"/>
      <c r="Z18" s="88"/>
    </row>
    <row r="19" spans="1:27" x14ac:dyDescent="0.25">
      <c r="A19" s="90">
        <v>1.1000000000000001</v>
      </c>
      <c r="B19" s="616"/>
      <c r="C19" s="91" t="s">
        <v>1836</v>
      </c>
      <c r="D19" s="92">
        <v>14.96</v>
      </c>
      <c r="E19" s="92">
        <v>16.72</v>
      </c>
      <c r="F19" s="92">
        <v>18.480000000000004</v>
      </c>
      <c r="G19" s="92">
        <v>20.239999999999998</v>
      </c>
      <c r="H19" s="92">
        <v>22</v>
      </c>
      <c r="I19" s="92">
        <v>36.058</v>
      </c>
      <c r="J19" s="92">
        <v>41.338000000000001</v>
      </c>
      <c r="K19" s="92">
        <v>56.1</v>
      </c>
      <c r="L19" s="92">
        <v>78.650000000000006</v>
      </c>
      <c r="M19" s="92">
        <v>93.500000000000014</v>
      </c>
      <c r="N19" s="92">
        <v>111.65</v>
      </c>
      <c r="P19" s="88"/>
      <c r="Q19" s="88"/>
      <c r="R19" s="88"/>
      <c r="S19" s="88"/>
      <c r="T19" s="88"/>
      <c r="U19" s="88"/>
      <c r="V19" s="88"/>
      <c r="W19" s="88"/>
      <c r="X19" s="88"/>
      <c r="Y19" s="88"/>
      <c r="Z19" s="88"/>
    </row>
    <row r="20" spans="1:27" x14ac:dyDescent="0.25">
      <c r="A20" s="90">
        <v>0.45</v>
      </c>
      <c r="B20" s="616"/>
      <c r="C20" s="91" t="s">
        <v>1805</v>
      </c>
      <c r="D20" s="92">
        <v>6.12</v>
      </c>
      <c r="E20" s="92">
        <v>6.84</v>
      </c>
      <c r="F20" s="92">
        <v>7.5600000000000005</v>
      </c>
      <c r="G20" s="92">
        <v>8.2799999999999994</v>
      </c>
      <c r="H20" s="92">
        <v>9</v>
      </c>
      <c r="I20" s="92">
        <v>14.751000000000001</v>
      </c>
      <c r="J20" s="92">
        <v>16.911000000000001</v>
      </c>
      <c r="K20" s="92">
        <v>22.95</v>
      </c>
      <c r="L20" s="92">
        <v>32.175000000000004</v>
      </c>
      <c r="M20" s="92">
        <v>38.25</v>
      </c>
      <c r="N20" s="92">
        <v>45.675000000000004</v>
      </c>
      <c r="P20" s="88"/>
      <c r="Q20" s="88"/>
      <c r="R20" s="88"/>
      <c r="S20" s="88"/>
      <c r="T20" s="88"/>
      <c r="U20" s="88"/>
      <c r="V20" s="88"/>
      <c r="W20" s="88"/>
      <c r="X20" s="88"/>
      <c r="Y20" s="88"/>
      <c r="Z20" s="88"/>
    </row>
    <row r="21" spans="1:27" x14ac:dyDescent="0.25">
      <c r="A21" s="90">
        <v>0.4</v>
      </c>
      <c r="B21" s="616"/>
      <c r="C21" s="91" t="s">
        <v>1806</v>
      </c>
      <c r="D21" s="92">
        <v>5.44</v>
      </c>
      <c r="E21" s="92">
        <v>6.08</v>
      </c>
      <c r="F21" s="92">
        <v>6.7200000000000006</v>
      </c>
      <c r="G21" s="92">
        <v>7.3599999999999994</v>
      </c>
      <c r="H21" s="92">
        <v>8</v>
      </c>
      <c r="I21" s="92">
        <v>13.112000000000002</v>
      </c>
      <c r="J21" s="92">
        <v>15.032</v>
      </c>
      <c r="K21" s="92">
        <v>20.400000000000002</v>
      </c>
      <c r="L21" s="92">
        <v>28.6</v>
      </c>
      <c r="M21" s="92">
        <v>34</v>
      </c>
      <c r="N21" s="92">
        <v>40.6</v>
      </c>
      <c r="P21" s="88"/>
      <c r="Q21" s="88"/>
      <c r="R21" s="88"/>
      <c r="S21" s="88"/>
      <c r="T21" s="88"/>
      <c r="U21" s="88"/>
      <c r="V21" s="88"/>
      <c r="W21" s="88"/>
      <c r="X21" s="88"/>
      <c r="Y21" s="88"/>
      <c r="Z21" s="88"/>
    </row>
    <row r="22" spans="1:27" x14ac:dyDescent="0.25">
      <c r="A22" s="90">
        <v>0.35</v>
      </c>
      <c r="B22" s="616"/>
      <c r="C22" s="91" t="s">
        <v>1807</v>
      </c>
      <c r="D22" s="92">
        <v>4.76</v>
      </c>
      <c r="E22" s="92">
        <v>5.3199999999999994</v>
      </c>
      <c r="F22" s="92">
        <v>5.88</v>
      </c>
      <c r="G22" s="92">
        <v>6.4399999999999995</v>
      </c>
      <c r="H22" s="92">
        <v>7</v>
      </c>
      <c r="I22" s="92">
        <v>11.472999999999999</v>
      </c>
      <c r="J22" s="92">
        <v>13.152999999999999</v>
      </c>
      <c r="K22" s="92">
        <v>17.849999999999998</v>
      </c>
      <c r="L22" s="92">
        <v>25.024999999999999</v>
      </c>
      <c r="M22" s="92">
        <v>29.749999999999996</v>
      </c>
      <c r="N22" s="92">
        <v>35.524999999999999</v>
      </c>
      <c r="P22" s="88"/>
      <c r="Q22" s="88"/>
      <c r="R22" s="88"/>
      <c r="S22" s="88"/>
      <c r="T22" s="88"/>
      <c r="U22" s="88"/>
      <c r="V22" s="88"/>
      <c r="W22" s="88"/>
      <c r="X22" s="88"/>
      <c r="Y22" s="88"/>
      <c r="Z22" s="88"/>
    </row>
    <row r="23" spans="1:27" x14ac:dyDescent="0.25">
      <c r="A23" s="90">
        <v>0.95</v>
      </c>
      <c r="B23" s="616"/>
      <c r="C23" s="91" t="s">
        <v>1808</v>
      </c>
      <c r="D23" s="92">
        <v>12.92</v>
      </c>
      <c r="E23" s="92">
        <v>14.44</v>
      </c>
      <c r="F23" s="92">
        <v>15.959999999999999</v>
      </c>
      <c r="G23" s="92">
        <v>17.479999999999997</v>
      </c>
      <c r="H23" s="92">
        <v>19</v>
      </c>
      <c r="I23" s="92">
        <v>31.140999999999998</v>
      </c>
      <c r="J23" s="92">
        <v>35.700999999999993</v>
      </c>
      <c r="K23" s="92">
        <v>48.449999999999996</v>
      </c>
      <c r="L23" s="92">
        <v>67.924999999999997</v>
      </c>
      <c r="M23" s="92">
        <v>80.75</v>
      </c>
      <c r="N23" s="92">
        <v>96.424999999999997</v>
      </c>
      <c r="P23" s="88"/>
      <c r="Q23" s="88"/>
      <c r="R23" s="88"/>
      <c r="S23" s="88"/>
      <c r="T23" s="88"/>
      <c r="U23" s="88"/>
      <c r="V23" s="88"/>
      <c r="W23" s="88"/>
      <c r="X23" s="88"/>
      <c r="Y23" s="88"/>
      <c r="Z23" s="88"/>
    </row>
    <row r="24" spans="1:27" x14ac:dyDescent="0.25">
      <c r="A24" s="90">
        <v>0.5</v>
      </c>
      <c r="B24" s="616"/>
      <c r="C24" s="91" t="s">
        <v>1809</v>
      </c>
      <c r="D24" s="92">
        <v>6.8</v>
      </c>
      <c r="E24" s="92">
        <v>7.6</v>
      </c>
      <c r="F24" s="92">
        <v>8.4</v>
      </c>
      <c r="G24" s="92">
        <v>9.1999999999999993</v>
      </c>
      <c r="H24" s="92">
        <v>10</v>
      </c>
      <c r="I24" s="92">
        <v>16.39</v>
      </c>
      <c r="J24" s="92">
        <v>18.79</v>
      </c>
      <c r="K24" s="92">
        <v>25.5</v>
      </c>
      <c r="L24" s="92">
        <v>35.75</v>
      </c>
      <c r="M24" s="92">
        <v>42.5</v>
      </c>
      <c r="N24" s="92">
        <v>50.75</v>
      </c>
      <c r="P24" s="88"/>
      <c r="Q24" s="88"/>
      <c r="R24" s="88"/>
      <c r="S24" s="88"/>
      <c r="T24" s="88"/>
      <c r="U24" s="88"/>
      <c r="V24" s="88"/>
      <c r="W24" s="88"/>
      <c r="X24" s="88"/>
      <c r="Y24" s="88"/>
      <c r="Z24" s="88"/>
    </row>
    <row r="25" spans="1:27" x14ac:dyDescent="0.25">
      <c r="A25" s="90">
        <v>0.4</v>
      </c>
      <c r="B25" s="616"/>
      <c r="C25" s="91" t="s">
        <v>1810</v>
      </c>
      <c r="D25" s="92">
        <v>5.44</v>
      </c>
      <c r="E25" s="92">
        <v>6.08</v>
      </c>
      <c r="F25" s="92">
        <v>6.7200000000000006</v>
      </c>
      <c r="G25" s="92">
        <v>7.3599999999999994</v>
      </c>
      <c r="H25" s="92">
        <v>8</v>
      </c>
      <c r="I25" s="92">
        <v>13.112000000000002</v>
      </c>
      <c r="J25" s="92">
        <v>15.032</v>
      </c>
      <c r="K25" s="92">
        <v>20.400000000000002</v>
      </c>
      <c r="L25" s="92">
        <v>28.6</v>
      </c>
      <c r="M25" s="92">
        <v>34</v>
      </c>
      <c r="N25" s="92">
        <v>40.6</v>
      </c>
      <c r="P25" s="88"/>
      <c r="Q25" s="88"/>
      <c r="R25" s="88"/>
      <c r="S25" s="88"/>
      <c r="T25" s="88"/>
      <c r="U25" s="88"/>
      <c r="V25" s="88"/>
      <c r="W25" s="88"/>
      <c r="X25" s="88"/>
      <c r="Y25" s="88"/>
      <c r="Z25" s="88"/>
    </row>
    <row r="26" spans="1:27" x14ac:dyDescent="0.25">
      <c r="A26" s="90">
        <v>0.5</v>
      </c>
      <c r="B26" s="616"/>
      <c r="C26" s="91" t="s">
        <v>1811</v>
      </c>
      <c r="D26" s="92">
        <v>6.8</v>
      </c>
      <c r="E26" s="92">
        <v>7.6</v>
      </c>
      <c r="F26" s="92">
        <v>8.4</v>
      </c>
      <c r="G26" s="92">
        <v>9.1999999999999993</v>
      </c>
      <c r="H26" s="92">
        <v>10</v>
      </c>
      <c r="I26" s="92">
        <v>16.39</v>
      </c>
      <c r="J26" s="92">
        <v>18.79</v>
      </c>
      <c r="K26" s="92">
        <v>25.5</v>
      </c>
      <c r="L26" s="92">
        <v>35.75</v>
      </c>
      <c r="M26" s="92">
        <v>42.5</v>
      </c>
      <c r="N26" s="92">
        <v>50.75</v>
      </c>
      <c r="P26" s="88"/>
      <c r="Q26" s="88"/>
      <c r="R26" s="88"/>
      <c r="S26" s="88"/>
      <c r="T26" s="88"/>
      <c r="U26" s="88"/>
      <c r="V26" s="88"/>
      <c r="W26" s="88"/>
      <c r="X26" s="88"/>
      <c r="Y26" s="88"/>
      <c r="Z26" s="88"/>
    </row>
    <row r="27" spans="1:27" x14ac:dyDescent="0.25">
      <c r="A27" s="90">
        <v>0.68</v>
      </c>
      <c r="B27" s="616"/>
      <c r="C27" s="91" t="s">
        <v>1812</v>
      </c>
      <c r="D27" s="92">
        <v>9.2480000000000011</v>
      </c>
      <c r="E27" s="92">
        <v>10.336</v>
      </c>
      <c r="F27" s="92">
        <v>11.424000000000001</v>
      </c>
      <c r="G27" s="92">
        <v>12.512</v>
      </c>
      <c r="H27" s="92">
        <v>13.600000000000001</v>
      </c>
      <c r="I27" s="92">
        <v>22.290400000000002</v>
      </c>
      <c r="J27" s="92">
        <v>25.554400000000001</v>
      </c>
      <c r="K27" s="92">
        <v>34.68</v>
      </c>
      <c r="L27" s="92">
        <v>48.620000000000005</v>
      </c>
      <c r="M27" s="92">
        <v>57.800000000000004</v>
      </c>
      <c r="N27" s="92">
        <v>69.02000000000001</v>
      </c>
      <c r="P27" s="88"/>
    </row>
    <row r="28" spans="1:27" x14ac:dyDescent="0.25">
      <c r="A28" s="90">
        <v>2.06</v>
      </c>
      <c r="B28" s="616"/>
      <c r="C28" s="91" t="s">
        <v>1813</v>
      </c>
      <c r="D28" s="92">
        <v>28.015999999999998</v>
      </c>
      <c r="E28" s="92">
        <v>31.311999999999998</v>
      </c>
      <c r="F28" s="92">
        <v>34.608000000000004</v>
      </c>
      <c r="G28" s="92">
        <v>37.903999999999996</v>
      </c>
      <c r="H28" s="92">
        <v>41.2</v>
      </c>
      <c r="I28" s="92">
        <v>67.526800000000009</v>
      </c>
      <c r="J28" s="92">
        <v>77.4148</v>
      </c>
      <c r="K28" s="92">
        <v>105.06</v>
      </c>
      <c r="L28" s="92">
        <v>147.29</v>
      </c>
      <c r="M28" s="92">
        <v>175.1</v>
      </c>
      <c r="N28" s="92">
        <v>209.09</v>
      </c>
      <c r="P28" s="98">
        <v>10</v>
      </c>
    </row>
    <row r="30" spans="1:27" x14ac:dyDescent="0.25">
      <c r="B30" s="617" t="s">
        <v>1117</v>
      </c>
      <c r="C30" s="89" t="s">
        <v>1819</v>
      </c>
      <c r="D30" s="89">
        <v>1000</v>
      </c>
      <c r="E30" s="89">
        <v>2000</v>
      </c>
      <c r="F30" s="89">
        <v>3000</v>
      </c>
      <c r="G30" s="99">
        <v>4000</v>
      </c>
      <c r="H30" s="101">
        <v>5000</v>
      </c>
      <c r="I30" s="101">
        <v>7000</v>
      </c>
      <c r="J30" s="101">
        <v>10000</v>
      </c>
      <c r="K30" s="101">
        <v>15000</v>
      </c>
      <c r="L30" s="101">
        <v>20000</v>
      </c>
      <c r="M30" s="101">
        <v>25000</v>
      </c>
      <c r="N30" s="101">
        <v>30000</v>
      </c>
    </row>
    <row r="31" spans="1:27" x14ac:dyDescent="0.25">
      <c r="B31" s="617"/>
      <c r="C31" s="89" t="s">
        <v>1820</v>
      </c>
      <c r="D31" s="89">
        <v>500</v>
      </c>
      <c r="E31" s="89">
        <v>500</v>
      </c>
      <c r="F31" s="89">
        <v>500</v>
      </c>
      <c r="G31" s="99">
        <v>500</v>
      </c>
      <c r="H31" s="101">
        <v>500</v>
      </c>
      <c r="I31" s="101">
        <v>1000</v>
      </c>
      <c r="J31" s="101">
        <v>1000</v>
      </c>
      <c r="K31" s="101">
        <v>1500</v>
      </c>
      <c r="L31" s="101">
        <v>2000</v>
      </c>
      <c r="M31" s="101">
        <v>2500</v>
      </c>
      <c r="N31" s="101">
        <v>3000</v>
      </c>
      <c r="P31" s="96" t="s">
        <v>1834</v>
      </c>
      <c r="Q31" s="97" t="s">
        <v>1836</v>
      </c>
      <c r="R31" s="97" t="s">
        <v>1826</v>
      </c>
      <c r="S31" s="97" t="s">
        <v>1827</v>
      </c>
      <c r="T31" s="97" t="s">
        <v>1828</v>
      </c>
      <c r="U31" s="97" t="s">
        <v>1829</v>
      </c>
      <c r="V31" s="97" t="s">
        <v>1830</v>
      </c>
      <c r="W31" s="97" t="s">
        <v>1831</v>
      </c>
      <c r="X31" s="97" t="s">
        <v>1832</v>
      </c>
      <c r="Y31" s="97" t="s">
        <v>1833</v>
      </c>
      <c r="Z31" s="97" t="s">
        <v>1835</v>
      </c>
      <c r="AA31" s="97" t="s">
        <v>1837</v>
      </c>
    </row>
    <row r="32" spans="1:27" x14ac:dyDescent="0.25">
      <c r="B32" s="616" t="s">
        <v>1821</v>
      </c>
      <c r="C32" s="91" t="s">
        <v>1415</v>
      </c>
      <c r="D32" s="92">
        <f>((([2]Hoja1!$F$3*[2]Hoja2!D$16)/1000+VLOOKUP([2]Hoja2!D$17,[2]Hoja1!$U$10:$W$15,3,0))*$A32)</f>
        <v>0</v>
      </c>
      <c r="E32" s="92">
        <f>((([2]Hoja1!$F$3*[2]Hoja2!E$16)/1000+VLOOKUP([2]Hoja2!E$17,[2]Hoja1!$U$10:$W$15,3,0))*$A32)</f>
        <v>0</v>
      </c>
      <c r="F32" s="92">
        <f>((([2]Hoja1!$F$3*[2]Hoja2!F$16)/1000+VLOOKUP([2]Hoja2!F$17,[2]Hoja1!$U$10:$W$15,3,0))*$A32)</f>
        <v>0</v>
      </c>
      <c r="G32" s="100">
        <f>((([2]Hoja1!$F$3*[2]Hoja2!G$16)/1000+VLOOKUP([2]Hoja2!G$17,[2]Hoja1!$U$10:$W$15,3,0))*$A32)</f>
        <v>0</v>
      </c>
      <c r="H32" s="102">
        <f t="shared" ref="H32:N42" si="0">(+H4+H18)/10</f>
        <v>0.7</v>
      </c>
      <c r="I32" s="102">
        <f t="shared" si="0"/>
        <v>1.1473</v>
      </c>
      <c r="J32" s="102">
        <f t="shared" si="0"/>
        <v>1.3152999999999999</v>
      </c>
      <c r="K32" s="102">
        <f t="shared" si="0"/>
        <v>1.7849999999999997</v>
      </c>
      <c r="L32" s="102">
        <f t="shared" si="0"/>
        <v>2.5024999999999999</v>
      </c>
      <c r="M32" s="102">
        <f t="shared" si="0"/>
        <v>2.9749999999999996</v>
      </c>
      <c r="N32" s="102">
        <f t="shared" si="0"/>
        <v>3.5524999999999998</v>
      </c>
      <c r="P32" s="94" t="str">
        <f>+CONCATENATE("B/.", ROUND(H32, 2), " ", "Prima mensual", " ","-", " ", TEXT($H$31, "B/. #,##0_); (#,##0)"), "/", TEXT($H$30, "B/. #,##0_); (#,##0)"))</f>
        <v xml:space="preserve">B/.0.7 Prima mensual - B/. 500 /B/. 5,000 </v>
      </c>
      <c r="Q32" s="94" t="str">
        <f>+CONCATENATE("B/.", ROUND(H33, 2), " ", "Prima mensual", " ","-", " ", TEXT($H$31, "B/. #,##0_); (#,##0)"), "/", TEXT($H$30, "B/. #,##0_); (#,##0)"))</f>
        <v xml:space="preserve">B/.2.2 Prima mensual - B/. 500 /B/. 5,000 </v>
      </c>
      <c r="R32" s="94" t="str">
        <f>+CONCATENATE("B/.", ROUND(H34,2), " ", "Prima mensual", " ","-", " ", TEXT($H$31, "B/. #,##0_); (#,##0)"), "/", TEXT($H$30, "B/. #,##0_); (#,##0)"))</f>
        <v xml:space="preserve">B/.0.9 Prima mensual - B/. 500 /B/. 5,000 </v>
      </c>
      <c r="S32" s="94" t="str">
        <f>+CONCATENATE("B/.", ROUND(H35,2), " ", "Prima mensual", " ","-", " ", TEXT($H$31, "B/. #,##0_); (#,##0)"), "/", TEXT($H$30, "B/. #,##0_); (#,##0)"))</f>
        <v xml:space="preserve">B/.0.8 Prima mensual - B/. 500 /B/. 5,000 </v>
      </c>
      <c r="T32" s="94" t="str">
        <f>+CONCATENATE("B/.", ROUND(H36,2), " ", "Prima mensual", " ","-", " ", TEXT($H$31, "B/. #,##0_); (#,##0)"), "/", TEXT($H$30, "B/. #,##0_); (#,##0)"))</f>
        <v xml:space="preserve">B/.0.7 Prima mensual - B/. 500 /B/. 5,000 </v>
      </c>
      <c r="U32" s="94" t="str">
        <f>+CONCATENATE("B/.", ROUND(H37,2), " ", "Prima mensual", " ","-", " ", TEXT($H$31, "B/. #,##0_); (#,##0)"), "/", TEXT($H$30, "B/. #,##0_); (#,##0)"))</f>
        <v xml:space="preserve">B/.1.9 Prima mensual - B/. 500 /B/. 5,000 </v>
      </c>
      <c r="V32" s="94" t="str">
        <f>+CONCATENATE("B/.", ROUND(H38,2)," ", "Prima mensual", " ","-", " ", TEXT($H$31, "B/. #,##0_); (#,##0)"), "/", TEXT($H$30, "B/. #,##0_); (#,##0)"))</f>
        <v xml:space="preserve">B/.1 Prima mensual - B/. 500 /B/. 5,000 </v>
      </c>
      <c r="W32" s="94" t="str">
        <f>+CONCATENATE("B/.", ROUND(H39, 2)," ", "Prima mensual", " ","-", " ", TEXT($H$31, "B/. #,##0_); (#,##0)"), "/", TEXT($H$30, "B/. #,##0_); (#,##0)"))</f>
        <v xml:space="preserve">B/.0.8 Prima mensual - B/. 500 /B/. 5,000 </v>
      </c>
      <c r="X32" s="94" t="str">
        <f>+CONCATENATE("B/.", ROUND(H40,2), " ", "Prima mensual", " ","-", " ", TEXT($H$31, "B/. #,##0_); (#,##0)"), "/", TEXT($H$30, "B/. #,##0_); (#,##0)"))</f>
        <v xml:space="preserve">B/.1 Prima mensual - B/. 500 /B/. 5,000 </v>
      </c>
      <c r="Y32" s="94" t="str">
        <f>+CONCATENATE("B/.", ROUND(H41, 2)," ", "Prima mensual", " ","-", " ", TEXT($H$31, "B/. #,##0_); (#,##0)"), "/", TEXT($H$30, "B/. #,##0_); (#,##0)"))</f>
        <v xml:space="preserve">B/.1.36 Prima mensual - B/. 500 /B/. 5,000 </v>
      </c>
      <c r="Z32" s="94" t="str">
        <f>+CONCATENATE("B/.",ROUND( H42, 2)," ", "Prima mensual", " ","-", " ", TEXT($H$31, "B/. #,##0_); (#,##0)"), "/", TEXT($H$30, "B/. #,##0_); (#,##0)"))</f>
        <v xml:space="preserve">B/.4.12 Prima mensual - B/. 500 /B/. 5,000 </v>
      </c>
      <c r="AA32" s="94" t="str">
        <f>+CONCATENATE("B/.",ROUND( H42,2), " ", "Prima mensual", " ","-", " ", TEXT($H$31, "B/. #,##0_); (#,##0)"), "/", TEXT($H$30, "B/. #,##0_); (#,##0)"))</f>
        <v xml:space="preserve">B/.4.12 Prima mensual - B/. 500 /B/. 5,000 </v>
      </c>
    </row>
    <row r="33" spans="2:27" x14ac:dyDescent="0.25">
      <c r="B33" s="616"/>
      <c r="C33" s="91" t="s">
        <v>1836</v>
      </c>
      <c r="D33" s="92">
        <f>((([2]Hoja1!$F$3*[2]Hoja2!D$16)/1000+VLOOKUP([2]Hoja2!D$17,[2]Hoja1!$U$10:$W$15,3,0))*$A33)</f>
        <v>0</v>
      </c>
      <c r="E33" s="92">
        <f>((([2]Hoja1!$F$3*[2]Hoja2!E$16)/1000+VLOOKUP([2]Hoja2!E$17,[2]Hoja1!$U$10:$W$15,3,0))*$A33)</f>
        <v>0</v>
      </c>
      <c r="F33" s="92">
        <f>((([2]Hoja1!$F$3*[2]Hoja2!F$16)/1000+VLOOKUP([2]Hoja2!F$17,[2]Hoja1!$U$10:$W$15,3,0))*$A33)</f>
        <v>0</v>
      </c>
      <c r="G33" s="100">
        <f>((([2]Hoja1!$F$3*[2]Hoja2!G$16)/1000+VLOOKUP([2]Hoja2!G$17,[2]Hoja1!$U$10:$W$15,3,0))*$A33)</f>
        <v>0</v>
      </c>
      <c r="H33" s="102">
        <f t="shared" si="0"/>
        <v>2.2000000000000002</v>
      </c>
      <c r="I33" s="102">
        <f t="shared" si="0"/>
        <v>3.6057999999999999</v>
      </c>
      <c r="J33" s="102">
        <f t="shared" si="0"/>
        <v>4.1337999999999999</v>
      </c>
      <c r="K33" s="102">
        <f t="shared" si="0"/>
        <v>5.61</v>
      </c>
      <c r="L33" s="102">
        <f t="shared" si="0"/>
        <v>7.8650000000000002</v>
      </c>
      <c r="M33" s="102">
        <f t="shared" si="0"/>
        <v>9.3500000000000014</v>
      </c>
      <c r="N33" s="102">
        <f t="shared" si="0"/>
        <v>11.165000000000001</v>
      </c>
      <c r="P33" s="94" t="str">
        <f>+CONCATENATE("B/.", ROUND(I32, 2), " ", "Prima mensual", " ","-", " ", TEXT($I$31, "B/. #,##0_); (#,##0)"), "/", TEXT($I$30, "B/. #,##0_); (#,##0)"))</f>
        <v xml:space="preserve">B/.1.15 Prima mensual - B/. 1,000 /B/. 7,000 </v>
      </c>
      <c r="Q33" s="94" t="str">
        <f>+CONCATENATE("B/.", ROUND(I33, 2), " ", "Prima mensual", " ","-", " ", TEXT($I$31, "B/. #,##0_); (#,##0)"), "/", TEXT($I$30, "B/. #,##0_); (#,##0)"))</f>
        <v xml:space="preserve">B/.3.61 Prima mensual - B/. 1,000 /B/. 7,000 </v>
      </c>
      <c r="R33" s="94" t="str">
        <f>+CONCATENATE("B/.", ROUND(I34,2), " ", "Prima mensual", " ","-", " ", TEXT($I$31, "B/. #,##0_); (#,##0)"), "/", TEXT($I$30, "B/. #,##0_); (#,##0)"))</f>
        <v xml:space="preserve">B/.1.48 Prima mensual - B/. 1,000 /B/. 7,000 </v>
      </c>
      <c r="S33" s="94" t="str">
        <f>+CONCATENATE("B/.", ROUND(I35,2), " ", "Prima mensual", " ","-", " ", TEXT($I$31, "B/. #,##0_); (#,##0)"), "/", TEXT($I$30, "B/. #,##0_); (#,##0)"))</f>
        <v xml:space="preserve">B/.1.31 Prima mensual - B/. 1,000 /B/. 7,000 </v>
      </c>
      <c r="T33" s="94" t="str">
        <f>+CONCATENATE("B/.", ROUND(I36,2), " ", "Prima mensual", " ","-", " ", TEXT($I$31, "B/. #,##0_); (#,##0)"), "/", TEXT($I$30, "B/. #,##0_); (#,##0)"))</f>
        <v xml:space="preserve">B/.1.15 Prima mensual - B/. 1,000 /B/. 7,000 </v>
      </c>
      <c r="U33" s="94" t="str">
        <f>+CONCATENATE("B/.", ROUND(I37, 2)," ", "Prima mensual", " ","-", " ",TEXT($I$31,  "B/. #,##0_); (#,##0)"), "/", TEXT($I$30, "B/. #,##0_); (#,##0)"))</f>
        <v xml:space="preserve">B/.3.11 Prima mensual - B/. 1,000 /B/. 7,000 </v>
      </c>
      <c r="V33" s="94" t="str">
        <f>+CONCATENATE("B/.", ROUND(I38, 2)," ", "Prima mensual", " ","-", " ", TEXT($I$31, "B/. #,##0_); (#,##0)"), "/", TEXT($I$30, "B/. #,##0_); (#,##0)"))</f>
        <v xml:space="preserve">B/.1.64 Prima mensual - B/. 1,000 /B/. 7,000 </v>
      </c>
      <c r="W33" s="94" t="str">
        <f>+CONCATENATE("B/.",ROUND( I39, 2)," ", "Prima mensual", " ","-", " ", TEXT($I$31, "B/. #,##0_); (#,##0)"), "/", TEXT($I$30, "B/. #,##0_); (#,##0)"))</f>
        <v xml:space="preserve">B/.1.31 Prima mensual - B/. 1,000 /B/. 7,000 </v>
      </c>
      <c r="X33" s="94" t="str">
        <f>+CONCATENATE("B/.", ROUND(I40,2), " ", "Prima mensual", " ","-", " ", TEXT($I$31, "B/. #,##0_); (#,##0)"), "/", TEXT($I$30, "B/. #,##0_); (#,##0)"))</f>
        <v xml:space="preserve">B/.1.64 Prima mensual - B/. 1,000 /B/. 7,000 </v>
      </c>
      <c r="Y33" s="94" t="str">
        <f>+CONCATENATE("B/.", ROUND(I41,2), " ", "Prima mensual", " ","-", " ", TEXT($I$31, "B/. #,##0_); (#,##0)"), "/", TEXT($I$30, "B/. #,##0_); (#,##0)"))</f>
        <v xml:space="preserve">B/.2.23 Prima mensual - B/. 1,000 /B/. 7,000 </v>
      </c>
      <c r="Z33" s="94" t="str">
        <f>+CONCATENATE("B/.", ROUND(I42, 2)," ", "Prima mensual", " ","-", " ", TEXT($I$31, "B/. #,##0_); (#,##0)"), "/", TEXT($I$30, "B/. #,##0_); (#,##0)"))</f>
        <v xml:space="preserve">B/.6.75 Prima mensual - B/. 1,000 /B/. 7,000 </v>
      </c>
      <c r="AA33" s="94" t="str">
        <f>+CONCATENATE("B/.", ROUND(I42,2), " ", "Prima mensual", " ","-", " ", TEXT($I$31, "B/. #,##0_); (#,##0)"), "/", TEXT($I$30, "B/. #,##0_); (#,##0)"))</f>
        <v xml:space="preserve">B/.6.75 Prima mensual - B/. 1,000 /B/. 7,000 </v>
      </c>
    </row>
    <row r="34" spans="2:27" x14ac:dyDescent="0.25">
      <c r="B34" s="616"/>
      <c r="C34" s="91" t="s">
        <v>1805</v>
      </c>
      <c r="D34" s="92">
        <f>((([2]Hoja1!$F$3*[2]Hoja2!D$16)/1000+VLOOKUP([2]Hoja2!D$17,[2]Hoja1!$U$10:$W$15,3,0))*$A34)</f>
        <v>0</v>
      </c>
      <c r="E34" s="92">
        <f>((([2]Hoja1!$F$3*[2]Hoja2!E$16)/1000+VLOOKUP([2]Hoja2!E$17,[2]Hoja1!$U$10:$W$15,3,0))*$A34)</f>
        <v>0</v>
      </c>
      <c r="F34" s="92">
        <f>((([2]Hoja1!$F$3*[2]Hoja2!F$16)/1000+VLOOKUP([2]Hoja2!F$17,[2]Hoja1!$U$10:$W$15,3,0))*$A34)</f>
        <v>0</v>
      </c>
      <c r="G34" s="100">
        <f>((([2]Hoja1!$F$3*[2]Hoja2!G$16)/1000+VLOOKUP([2]Hoja2!G$17,[2]Hoja1!$U$10:$W$15,3,0))*$A34)</f>
        <v>0</v>
      </c>
      <c r="H34" s="102">
        <f t="shared" si="0"/>
        <v>0.9</v>
      </c>
      <c r="I34" s="102">
        <f t="shared" si="0"/>
        <v>1.4751000000000001</v>
      </c>
      <c r="J34" s="102">
        <f t="shared" si="0"/>
        <v>1.6911</v>
      </c>
      <c r="K34" s="102">
        <f t="shared" si="0"/>
        <v>2.2949999999999999</v>
      </c>
      <c r="L34" s="102">
        <f t="shared" si="0"/>
        <v>3.2175000000000002</v>
      </c>
      <c r="M34" s="102">
        <f t="shared" si="0"/>
        <v>3.8250000000000002</v>
      </c>
      <c r="N34" s="102">
        <f t="shared" si="0"/>
        <v>4.5675000000000008</v>
      </c>
      <c r="P34" s="94" t="str">
        <f>+CONCATENATE("B/.",ROUND(J32,2)," ","Prima mensual"," ","-"," ",TEXT($J$31,"B/. #,##0_); (#,##0)"),"/",TEXT($J$30,"B/. #,##0_); (#,##0)"))</f>
        <v xml:space="preserve">B/.1.32 Prima mensual - B/. 1,000 /B/. 10,000 </v>
      </c>
      <c r="Q34" s="94" t="str">
        <f>+CONCATENATE("B/.", ROUND(J33, 2), " ", "Prima mensual", " ","-", " ", TEXT($J$31, "B/. #,##0_); (#,##0)"), "/", TEXT($J$30, "B/. #,##0_); (#,##0)"))</f>
        <v xml:space="preserve">B/.4.13 Prima mensual - B/. 1,000 /B/. 10,000 </v>
      </c>
      <c r="R34" s="94" t="str">
        <f>+CONCATENATE("B/.", ROUND(J34,2), " ", "Prima mensual", " ","-", " ", TEXT($J$31, "B/. #,##0_); (#,##0)"), "/", TEXT($J$30, "B/. #,##0_); (#,##0)"))</f>
        <v xml:space="preserve">B/.1.69 Prima mensual - B/. 1,000 /B/. 10,000 </v>
      </c>
      <c r="S34" s="94" t="str">
        <f>+CONCATENATE("B/.", ROUND(J35, 2), " ", "Prima mensual", " ","-", " ", TEXT($J$31, "B/. #,##0_); (#,##0)"), "/", TEXT($J$30, "B/. #,##0_); (#,##0)"))</f>
        <v xml:space="preserve">B/.1.5 Prima mensual - B/. 1,000 /B/. 10,000 </v>
      </c>
      <c r="T34" s="94" t="str">
        <f>+CONCATENATE("B/.", ROUND(J36,2), " ", "Prima mensual", " ","-", " ", TEXT($J$31, "B/. #,##0_); (#,##0)"), "/", TEXT($J$30, "B/. #,##0_); (#,##0)"))</f>
        <v xml:space="preserve">B/.1.32 Prima mensual - B/. 1,000 /B/. 10,000 </v>
      </c>
      <c r="U34" s="94" t="str">
        <f>+CONCATENATE("B/.", ROUND(J37,2), " ", "Prima mensual", " ","-", " ", TEXT($J$31, "B/. #,##0_); (#,##0)"), "/", TEXT($J$30, "B/. #,##0_); (#,##0)"))</f>
        <v xml:space="preserve">B/.3.57 Prima mensual - B/. 1,000 /B/. 10,000 </v>
      </c>
      <c r="V34" s="94" t="str">
        <f>+CONCATENATE("B/.", ROUND(J38,2), " ", "Prima mensual", " ","-", " ", TEXT($J$31, "B/. #,##0_); (#,##0)"), "/", TEXT($J$30, "B/. #,##0_); (#,##0)"))</f>
        <v xml:space="preserve">B/.1.88 Prima mensual - B/. 1,000 /B/. 10,000 </v>
      </c>
      <c r="W34" s="94" t="str">
        <f>+CONCATENATE("B/.", ROUND(J39, 2)," ", "Prima mensual", " ","-", " ", TEXT($J$31, "B/. #,##0_); (#,##0)"), "/", TEXT($J$30, "B/. #,##0_); (#,##0)"))</f>
        <v xml:space="preserve">B/.1.5 Prima mensual - B/. 1,000 /B/. 10,000 </v>
      </c>
      <c r="X34" s="94" t="str">
        <f>+CONCATENATE("B/.", ROUND(J40, 2)," ", "Prima mensual", " ","-", " ", TEXT($J$31, "B/. #,##0_); (#,##0)"), "/", TEXT($J$30, "B/. #,##0_); (#,##0)"))</f>
        <v xml:space="preserve">B/.1.88 Prima mensual - B/. 1,000 /B/. 10,000 </v>
      </c>
      <c r="Y34" s="94" t="str">
        <f>+CONCATENATE("B/.", ROUND(J41,2), " ", "Prima mensual", " ","-", " ", TEXT($J$31, "B/. #,##0_); (#,##0)"), "/", TEXT($J$30, "B/. #,##0_); (#,##0)"))</f>
        <v xml:space="preserve">B/.2.56 Prima mensual - B/. 1,000 /B/. 10,000 </v>
      </c>
      <c r="Z34" s="94" t="str">
        <f>+CONCATENATE("B/.", ROUND(J42, 2)," ", "Prima mensual", " ","-", " ", TEXT($J$31, "B/. #,##0_); (#,##0)"), "/", TEXT($J$30, "B/. #,##0_); (#,##0)"))</f>
        <v xml:space="preserve">B/.7.74 Prima mensual - B/. 1,000 /B/. 10,000 </v>
      </c>
      <c r="AA34" s="94" t="str">
        <f>+CONCATENATE("B/.", ROUND(J42, 2)," ", "Prima mensual", " ","-", " ", TEXT($J$31, "B/. #,##0_); (#,##0)"), "/", TEXT($J$30, "B/. #,##0_); (#,##0)"))</f>
        <v xml:space="preserve">B/.7.74 Prima mensual - B/. 1,000 /B/. 10,000 </v>
      </c>
    </row>
    <row r="35" spans="2:27" x14ac:dyDescent="0.25">
      <c r="B35" s="616"/>
      <c r="C35" s="91" t="s">
        <v>1806</v>
      </c>
      <c r="D35" s="92">
        <f>((([2]Hoja1!$F$3*[2]Hoja2!D$16)/1000+VLOOKUP([2]Hoja2!D$17,[2]Hoja1!$U$10:$W$15,3,0))*$A35)</f>
        <v>0</v>
      </c>
      <c r="E35" s="92">
        <f>((([2]Hoja1!$F$3*[2]Hoja2!E$16)/1000+VLOOKUP([2]Hoja2!E$17,[2]Hoja1!$U$10:$W$15,3,0))*$A35)</f>
        <v>0</v>
      </c>
      <c r="F35" s="92">
        <f>((([2]Hoja1!$F$3*[2]Hoja2!F$16)/1000+VLOOKUP([2]Hoja2!F$17,[2]Hoja1!$U$10:$W$15,3,0))*$A35)</f>
        <v>0</v>
      </c>
      <c r="G35" s="100">
        <f>((([2]Hoja1!$F$3*[2]Hoja2!G$16)/1000+VLOOKUP([2]Hoja2!G$17,[2]Hoja1!$U$10:$W$15,3,0))*$A35)</f>
        <v>0</v>
      </c>
      <c r="H35" s="102">
        <f t="shared" si="0"/>
        <v>0.8</v>
      </c>
      <c r="I35" s="102">
        <f t="shared" si="0"/>
        <v>1.3112000000000001</v>
      </c>
      <c r="J35" s="102">
        <f t="shared" si="0"/>
        <v>1.5032000000000001</v>
      </c>
      <c r="K35" s="102">
        <f t="shared" si="0"/>
        <v>2.04</v>
      </c>
      <c r="L35" s="102">
        <f t="shared" si="0"/>
        <v>2.8600000000000003</v>
      </c>
      <c r="M35" s="102">
        <f t="shared" si="0"/>
        <v>3.4</v>
      </c>
      <c r="N35" s="102">
        <f t="shared" si="0"/>
        <v>4.0600000000000005</v>
      </c>
      <c r="P35" s="94" t="str">
        <f>+CONCATENATE("B/.", ROUND(K32, 2), " ", "Prima mensual", " ","-", " ", TEXT($K$31, "B/. #,##0_); (#,##0)"), "/", TEXT($K$30, "B/. #,##0_); (#,##0)"))</f>
        <v xml:space="preserve">B/.1.79 Prima mensual - B/. 1,500 /B/. 15,000 </v>
      </c>
      <c r="Q35" s="94" t="str">
        <f>+CONCATENATE("B/.", ROUND(K33, 2), " ", "Prima mensual", " ","-", " ", TEXT($K$31, "B/. #,##0_); (#,##0)"), "/", TEXT($K$30, "B/. #,##0_); (#,##0)"))</f>
        <v xml:space="preserve">B/.5.61 Prima mensual - B/. 1,500 /B/. 15,000 </v>
      </c>
      <c r="R35" s="94" t="str">
        <f>+CONCATENATE("B/.", ROUND(K34,2), " ", "Prima mensual", " ","-", " ", TEXT($K$31, "B/. #,##0_); (#,##0)"), "/", TEXT($K$30, "B/. #,##0_); (#,##0)"))</f>
        <v xml:space="preserve">B/.2.3 Prima mensual - B/. 1,500 /B/. 15,000 </v>
      </c>
      <c r="S35" s="94" t="str">
        <f>+CONCATENATE("B/.", ROUND(K35, 2), " ", "Prima mensual", " ","-", " ", TEXT($K$31, "B/. #,##0_); (#,##0)"), "/", TEXT($K$30, "B/. #,##0_); (#,##0)"))</f>
        <v xml:space="preserve">B/.2.04 Prima mensual - B/. 1,500 /B/. 15,000 </v>
      </c>
      <c r="T35" s="94" t="str">
        <f>+CONCATENATE("B/.", ROUND(K36,2), " ", "Prima mensual", " ","-", " ", TEXT($K$31, "B/. #,##0_); (#,##0)"), "/", TEXT($K$30, "B/. #,##0_); (#,##0)"))</f>
        <v xml:space="preserve">B/.1.79 Prima mensual - B/. 1,500 /B/. 15,000 </v>
      </c>
      <c r="U35" s="94" t="str">
        <f>+CONCATENATE("B/.", ROUND(K37,2), " ", "Prima mensual", " ","-", " ", TEXT($K$31, "B/. #,##0_); (#,##0)"), "/", TEXT($K$30, "B/. #,##0_); (#,##0)"))</f>
        <v xml:space="preserve">B/.4.85 Prima mensual - B/. 1,500 /B/. 15,000 </v>
      </c>
      <c r="V35" s="94" t="str">
        <f>+CONCATENATE("B/.", ROUND(K38, 2)," ", "Prima mensual", " ","-", " ", TEXT($K$31, "B/. #,##0_); (#,##0)"), "/", TEXT($K$30, "B/. #,##0_); (#,##0)"))</f>
        <v xml:space="preserve">B/.2.55 Prima mensual - B/. 1,500 /B/. 15,000 </v>
      </c>
      <c r="W35" s="94" t="str">
        <f>+CONCATENATE("B/.", ROUND(K39, 2)," ", "Prima mensual", " ","-", " ", TEXT($K$31, "B/. #,##0_); (#,##0)"), "/", TEXT($K$30, "B/. #,##0_); (#,##0)"))</f>
        <v xml:space="preserve">B/.2.04 Prima mensual - B/. 1,500 /B/. 15,000 </v>
      </c>
      <c r="X35" s="94" t="str">
        <f>+CONCATENATE("B/.", ROUND(K40,2), " ", "Prima mensual", " ","-", " ", TEXT($K$31, "B/. #,##0_); (#,##0)"), "/", TEXT($K$30, "B/. #,##0_); (#,##0)"))</f>
        <v xml:space="preserve">B/.2.55 Prima mensual - B/. 1,500 /B/. 15,000 </v>
      </c>
      <c r="Y35" s="94" t="str">
        <f>+CONCATENATE("B/.", ROUND(K41,2), " ", "Prima mensual", " ","-", " ", TEXT($K$31, "B/. #,##0_); (#,##0)"), "/", TEXT($K$30, "B/. #,##0_); (#,##0)"))</f>
        <v xml:space="preserve">B/.3.47 Prima mensual - B/. 1,500 /B/. 15,000 </v>
      </c>
      <c r="Z35" s="94" t="str">
        <f>+CONCATENATE("B/.", ROUND(K42, 2), " ", "Prima mensual", " ","-", " ", TEXT($K$31,  "B/. #,##0_); (#,##0)"), "/", TEXT($K$30, "B/. #,##0_); (#,##0)"))</f>
        <v xml:space="preserve">B/.10.51 Prima mensual - B/. 1,500 /B/. 15,000 </v>
      </c>
      <c r="AA35" s="94" t="str">
        <f>+CONCATENATE("B/.", ROUND(K42,2), " ", "Prima mensual", " ","-", " ", TEXT($K$31, "B/. #,##0_); (#,##0)"), "/", TEXT($K$30, "B/. #,##0_); (#,##0)"))</f>
        <v xml:space="preserve">B/.10.51 Prima mensual - B/. 1,500 /B/. 15,000 </v>
      </c>
    </row>
    <row r="36" spans="2:27" x14ac:dyDescent="0.25">
      <c r="B36" s="616"/>
      <c r="C36" s="91" t="s">
        <v>1807</v>
      </c>
      <c r="D36" s="92">
        <f>((([2]Hoja1!$F$3*[2]Hoja2!D$16)/1000+VLOOKUP([2]Hoja2!D$17,[2]Hoja1!$U$10:$W$15,3,0))*$A36)</f>
        <v>0</v>
      </c>
      <c r="E36" s="92">
        <f>((([2]Hoja1!$F$3*[2]Hoja2!E$16)/1000+VLOOKUP([2]Hoja2!E$17,[2]Hoja1!$U$10:$W$15,3,0))*$A36)</f>
        <v>0</v>
      </c>
      <c r="F36" s="92">
        <f>((([2]Hoja1!$F$3*[2]Hoja2!F$16)/1000+VLOOKUP([2]Hoja2!F$17,[2]Hoja1!$U$10:$W$15,3,0))*$A36)</f>
        <v>0</v>
      </c>
      <c r="G36" s="100">
        <f>((([2]Hoja1!$F$3*[2]Hoja2!G$16)/1000+VLOOKUP([2]Hoja2!G$17,[2]Hoja1!$U$10:$W$15,3,0))*$A36)</f>
        <v>0</v>
      </c>
      <c r="H36" s="102">
        <f t="shared" si="0"/>
        <v>0.7</v>
      </c>
      <c r="I36" s="102">
        <f t="shared" si="0"/>
        <v>1.1473</v>
      </c>
      <c r="J36" s="102">
        <f t="shared" si="0"/>
        <v>1.3152999999999999</v>
      </c>
      <c r="K36" s="102">
        <f t="shared" si="0"/>
        <v>1.7849999999999997</v>
      </c>
      <c r="L36" s="102">
        <f t="shared" si="0"/>
        <v>2.5024999999999999</v>
      </c>
      <c r="M36" s="102">
        <f t="shared" si="0"/>
        <v>2.9749999999999996</v>
      </c>
      <c r="N36" s="102">
        <f t="shared" si="0"/>
        <v>3.5524999999999998</v>
      </c>
      <c r="P36" s="94" t="str">
        <f>+CONCATENATE("B/.", ROUND(L32, 2), " ", "Prima mensual", " ","-", " ", TEXT($L$31, "B/. #,##0_); (#,##0)"), "/", TEXT($L$30, "B/. #,##0_); (#,##0)"))</f>
        <v xml:space="preserve">B/.2.5 Prima mensual - B/. 2,000 /B/. 20,000 </v>
      </c>
      <c r="Q36" s="94" t="str">
        <f>+CONCATENATE("B/.", ROUND(L33, 2), " ", "Prima mensual", " ","-", " ", TEXT($L$31, "B/. #,##0_); (#,##0)"), "/", TEXT($L$30, "B/. #,##0_); (#,##0)"))</f>
        <v xml:space="preserve">B/.7.87 Prima mensual - B/. 2,000 /B/. 20,000 </v>
      </c>
      <c r="R36" s="94" t="str">
        <f>+CONCATENATE("B/.", ROUND(L34,2), " ", "Prima mensual", " ","-", " ", TEXT($L$31, "B/. #,##0_); (#,##0)"), "/", TEXT($L$30, "B/. #,##0_); (#,##0)"))</f>
        <v xml:space="preserve">B/.3.22 Prima mensual - B/. 2,000 /B/. 20,000 </v>
      </c>
      <c r="S36" s="94" t="str">
        <f>+CONCATENATE("B/.", ROUND(L35,2), " ", "Prima mensual", " ","-", " ",TEXT( $L$31, "B/. #,##0_); (#,##0)"), "/", TEXT($L$30, "B/. #,##0_); (#,##0)"))</f>
        <v xml:space="preserve">B/.2.86 Prima mensual - B/. 2,000 /B/. 20,000 </v>
      </c>
      <c r="T36" s="94" t="str">
        <f>+CONCATENATE("B/.", ROUND(L36, 2)," ", "Prima mensual", " ","-", " ", TEXT($L$31, "B/. #,##0_); (#,##0)"), "/", TEXT($L$30, "B/. #,##0_); (#,##0)"))</f>
        <v xml:space="preserve">B/.2.5 Prima mensual - B/. 2,000 /B/. 20,000 </v>
      </c>
      <c r="U36" s="94" t="str">
        <f>+CONCATENATE("B/.", ROUND(L37,2), " ", "Prima mensual", " ","-", " ", TEXT($L$31, "B/. #,##0_); (#,##0)"), "/", TEXT($L$30, "B/. #,##0_); (#,##0)"))</f>
        <v xml:space="preserve">B/.6.79 Prima mensual - B/. 2,000 /B/. 20,000 </v>
      </c>
      <c r="V36" s="94" t="str">
        <f>+CONCATENATE("B/.", ROUND(L38, 2)," ", "Prima mensual", " ","-", " ", TEXT($L$31, "B/. #,##0_); (#,##0)"), "/", TEXT($L$30, "B/. #,##0_); (#,##0)"))</f>
        <v xml:space="preserve">B/.3.58 Prima mensual - B/. 2,000 /B/. 20,000 </v>
      </c>
      <c r="W36" s="94" t="str">
        <f>+CONCATENATE("B/.", ROUND(L39, 2)," ", "Prima mensual", " ","-", " ", TEXT($L$31, "B/. #,##0_); (#,##0)"), "/", TEXT($L$30, "B/. #,##0_); (#,##0)"))</f>
        <v xml:space="preserve">B/.2.86 Prima mensual - B/. 2,000 /B/. 20,000 </v>
      </c>
      <c r="X36" s="94" t="str">
        <f>+CONCATENATE("B/.", ROUND(L40,2), " ", "Prima mensual", " ","-", " ", TEXT($L$31, "B/. #,##0_); (#,##0)"), "/", TEXT($L$30, "B/. #,##0_); (#,##0)"))</f>
        <v xml:space="preserve">B/.3.58 Prima mensual - B/. 2,000 /B/. 20,000 </v>
      </c>
      <c r="Y36" s="94" t="str">
        <f>+CONCATENATE("B/.", ROUND(L41, 2)," ", "Prima mensual", " ","-", " ", TEXT($L$31, "B/. #,##0_); (#,##0)"), "/", TEXT($L$30, "B/. #,##0_); (#,##0)"))</f>
        <v xml:space="preserve">B/.4.86 Prima mensual - B/. 2,000 /B/. 20,000 </v>
      </c>
      <c r="Z36" s="94" t="str">
        <f>+CONCATENATE("B/.", ROUND(L42, 2)," ", "Prima mensual", " ","-", " ", TEXT($L$31, "B/. #,##0_); (#,##0)"), "/", TEXT($L$30, "B/. #,##0_); (#,##0)"))</f>
        <v xml:space="preserve">B/.14.73 Prima mensual - B/. 2,000 /B/. 20,000 </v>
      </c>
      <c r="AA36" s="94" t="str">
        <f>+CONCATENATE("B/.", ROUND(L42, 2)," ", "Prima mensual", " ","-", " ", TEXT($L$31, "B/. #,##0_); (#,##0)"), "/", TEXT($L$30, "B/. #,##0_); (#,##0)"))</f>
        <v xml:space="preserve">B/.14.73 Prima mensual - B/. 2,000 /B/. 20,000 </v>
      </c>
    </row>
    <row r="37" spans="2:27" x14ac:dyDescent="0.25">
      <c r="B37" s="616"/>
      <c r="C37" s="91" t="s">
        <v>1808</v>
      </c>
      <c r="D37" s="92">
        <f>((([2]Hoja1!$F$3*[2]Hoja2!D$16)/1000+VLOOKUP([2]Hoja2!D$17,[2]Hoja1!$U$10:$W$15,3,0))*$A37)</f>
        <v>0</v>
      </c>
      <c r="E37" s="92">
        <f>((([2]Hoja1!$F$3*[2]Hoja2!E$16)/1000+VLOOKUP([2]Hoja2!E$17,[2]Hoja1!$U$10:$W$15,3,0))*$A37)</f>
        <v>0</v>
      </c>
      <c r="F37" s="92">
        <f>((([2]Hoja1!$F$3*[2]Hoja2!F$16)/1000+VLOOKUP([2]Hoja2!F$17,[2]Hoja1!$U$10:$W$15,3,0))*$A37)</f>
        <v>0</v>
      </c>
      <c r="G37" s="100">
        <f>((([2]Hoja1!$F$3*[2]Hoja2!G$16)/1000+VLOOKUP([2]Hoja2!G$17,[2]Hoja1!$U$10:$W$15,3,0))*$A37)</f>
        <v>0</v>
      </c>
      <c r="H37" s="102">
        <f t="shared" si="0"/>
        <v>1.9</v>
      </c>
      <c r="I37" s="102">
        <f t="shared" si="0"/>
        <v>3.1140999999999996</v>
      </c>
      <c r="J37" s="102">
        <f t="shared" si="0"/>
        <v>3.5700999999999992</v>
      </c>
      <c r="K37" s="102">
        <f t="shared" si="0"/>
        <v>4.8449999999999998</v>
      </c>
      <c r="L37" s="102">
        <f t="shared" si="0"/>
        <v>6.7924999999999995</v>
      </c>
      <c r="M37" s="102">
        <f t="shared" si="0"/>
        <v>8.0749999999999993</v>
      </c>
      <c r="N37" s="102">
        <f t="shared" si="0"/>
        <v>9.6425000000000001</v>
      </c>
      <c r="P37" s="94" t="str">
        <f>+CONCATENATE("B/.", ROUND(M32, 2), " ", "Prima mensual", " ","-", " ", TEXT($M$31, "B/. #,##0_); (#,##0)"), "/", TEXT($M$30, "B/. #,##0_); (#,##0)"))</f>
        <v xml:space="preserve">B/.2.98 Prima mensual - B/. 2,500 /B/. 25,000 </v>
      </c>
      <c r="Q37" s="94" t="str">
        <f>+CONCATENATE("B/.", ROUND(M33,2), " ", "Prima mensual", " ","-", " ", TEXT($M$31, "B/. #,##0_); (#,##0)"), "/", TEXT($M$30, "B/. #,##0_); (#,##0)"))</f>
        <v xml:space="preserve">B/.9.35 Prima mensual - B/. 2,500 /B/. 25,000 </v>
      </c>
      <c r="R37" s="94" t="str">
        <f>+CONCATENATE("B/.", ROUND(M34,2), " ", "Prima mensual", " ","-", " ", TEXT($M$31, "B/. #,##0_); (#,##0)"), "/", TEXT($M$30, "B/. #,##0_); (#,##0)"))</f>
        <v xml:space="preserve">B/.3.83 Prima mensual - B/. 2,500 /B/. 25,000 </v>
      </c>
      <c r="S37" s="94" t="str">
        <f>+CONCATENATE("B/.", ROUND(M35,2), " ", "Prima mensual", " ","-", " ", TEXT($M$31, "B/. #,##0_); (#,##0)"), "/", TEXT($M$30, "B/. #,##0_); (#,##0)"))</f>
        <v xml:space="preserve">B/.3.4 Prima mensual - B/. 2,500 /B/. 25,000 </v>
      </c>
      <c r="T37" s="94" t="str">
        <f>+CONCATENATE("B/.", ROUND(M36,2), " ", "Prima mensual", " ","-", " ", TEXT($M$31, "B/. #,##0_); (#,##0)"), "/", TEXT($M$30, "B/. #,##0_); (#,##0)"))</f>
        <v xml:space="preserve">B/.2.98 Prima mensual - B/. 2,500 /B/. 25,000 </v>
      </c>
      <c r="U37" s="94" t="str">
        <f>+CONCATENATE("B/.", ROUND(M37,2), " ", "Prima mensual", " ","-", " ", TEXT($M$31, "B/. #,##0_); (#,##0)"), "/", TEXT($M$30, "B/. #,##0_); (#,##0)"))</f>
        <v xml:space="preserve">B/.8.08 Prima mensual - B/. 2,500 /B/. 25,000 </v>
      </c>
      <c r="V37" s="94" t="str">
        <f>+CONCATENATE("B/.", ROUND(M38,2), " ", "Prima mensual", " ","-", " ", TEXT($M$31, "B/. #,##0_); (#,##0)"), "/", TEXT($M$30, "B/. #,##0_); (#,##0)"))</f>
        <v xml:space="preserve">B/.4.25 Prima mensual - B/. 2,500 /B/. 25,000 </v>
      </c>
      <c r="W37" s="94" t="str">
        <f>+CONCATENATE("B/.", ROUND(M39, 2), " ", "Prima mensual", " ","-", " ", TEXT($M$31, "B/. #,##0_); (#,##0)"), "/", TEXT($M$30, "B/. #,##0_); (#,##0)"))</f>
        <v xml:space="preserve">B/.3.4 Prima mensual - B/. 2,500 /B/. 25,000 </v>
      </c>
      <c r="X37" s="94" t="str">
        <f>+CONCATENATE("B/.", ROUND(M40,2), " ", "Prima mensual", " ","-", " ", TEXT($M$31, "B/. #,##0_); (#,##0)"), "/", TEXT($M$30, "B/. #,##0_); (#,##0)"))</f>
        <v xml:space="preserve">B/.4.25 Prima mensual - B/. 2,500 /B/. 25,000 </v>
      </c>
      <c r="Y37" s="94" t="str">
        <f>+CONCATENATE("B/.", ROUND(M41, 2)," ", "Prima mensual", " ","-", " ", TEXT($M$31, "B/. #,##0_); (#,##0)"), "/", TEXT($M$30, "B/. #,##0_); (#,##0)"))</f>
        <v xml:space="preserve">B/.5.78 Prima mensual - B/. 2,500 /B/. 25,000 </v>
      </c>
      <c r="Z37" s="94" t="str">
        <f>+CONCATENATE("B/.", ROUND(M42,2), " ", "Prima mensual", " ","-", " ", TEXT($M$31, "B/. #,##0_); (#,##0)"), "/", TEXT($M$30, "B/. #,##0_); (#,##0)"))</f>
        <v xml:space="preserve">B/.17.51 Prima mensual - B/. 2,500 /B/. 25,000 </v>
      </c>
      <c r="AA37" s="94" t="str">
        <f>+CONCATENATE("B/.", ROUND(M42,2), " ", "Prima mensual", " ","-", " ", TEXT($M$31, "B/. #,##0_); (#,##0)"), "/", TEXT($M$30, "B/. #,##0_); (#,##0)"))</f>
        <v xml:space="preserve">B/.17.51 Prima mensual - B/. 2,500 /B/. 25,000 </v>
      </c>
    </row>
    <row r="38" spans="2:27" x14ac:dyDescent="0.25">
      <c r="B38" s="616"/>
      <c r="C38" s="91" t="s">
        <v>1809</v>
      </c>
      <c r="D38" s="92">
        <f>((([2]Hoja1!$F$3*[2]Hoja2!D$16)/1000+VLOOKUP([2]Hoja2!D$17,[2]Hoja1!$U$10:$W$15,3,0))*$A38)</f>
        <v>0</v>
      </c>
      <c r="E38" s="92">
        <f>((([2]Hoja1!$F$3*[2]Hoja2!E$16)/1000+VLOOKUP([2]Hoja2!E$17,[2]Hoja1!$U$10:$W$15,3,0))*$A38)</f>
        <v>0</v>
      </c>
      <c r="F38" s="92">
        <f>((([2]Hoja1!$F$3*[2]Hoja2!F$16)/1000+VLOOKUP([2]Hoja2!F$17,[2]Hoja1!$U$10:$W$15,3,0))*$A38)</f>
        <v>0</v>
      </c>
      <c r="G38" s="100">
        <f>((([2]Hoja1!$F$3*[2]Hoja2!G$16)/1000+VLOOKUP([2]Hoja2!G$17,[2]Hoja1!$U$10:$W$15,3,0))*$A38)</f>
        <v>0</v>
      </c>
      <c r="H38" s="102">
        <f t="shared" si="0"/>
        <v>1</v>
      </c>
      <c r="I38" s="102">
        <f t="shared" si="0"/>
        <v>1.639</v>
      </c>
      <c r="J38" s="102">
        <f t="shared" si="0"/>
        <v>1.879</v>
      </c>
      <c r="K38" s="102">
        <f t="shared" si="0"/>
        <v>2.5499999999999998</v>
      </c>
      <c r="L38" s="102">
        <f t="shared" si="0"/>
        <v>3.5750000000000002</v>
      </c>
      <c r="M38" s="102">
        <f t="shared" si="0"/>
        <v>4.25</v>
      </c>
      <c r="N38" s="102">
        <f t="shared" si="0"/>
        <v>5.0750000000000002</v>
      </c>
      <c r="P38" s="94" t="str">
        <f>+CONCATENATE("B/.", ROUND(N32, 2), " ", "Prima mensual", " ","-", " ", TEXT($N$31, "B/. #,##0_); (#,##0)"), "/", TEXT($N$30, "B/. #,##0_); (#,##0)"))</f>
        <v xml:space="preserve">B/.3.55 Prima mensual - B/. 3,000 /B/. 30,000 </v>
      </c>
      <c r="Q38" s="94" t="str">
        <f>+CONCATENATE("B/.", ROUND(N33,2), " ", "Prima mensual", " ","-", " ", TEXT($N$31, "B/. #,##0_); (#,##0)"), "/", TEXT($N$30, "B/. #,##0_); (#,##0)"))</f>
        <v xml:space="preserve">B/.11.17 Prima mensual - B/. 3,000 /B/. 30,000 </v>
      </c>
      <c r="R38" s="94" t="str">
        <f>+CONCATENATE("B/.", ROUND(N34, 2), " ", "Prima mensual", " ","-", " ", TEXT($N$31, "B/. #,##0_); (#,##0)"), "/", TEXT($N$30, "B/. #,##0_); (#,##0)"))</f>
        <v xml:space="preserve">B/.4.57 Prima mensual - B/. 3,000 /B/. 30,000 </v>
      </c>
      <c r="S38" s="94" t="str">
        <f>+CONCATENATE("B/.", ROUND(N35,2), " ", "Prima mensual", " ","-", " ", TEXT($N$31, "B/. #,##0_); (#,##0)"), "/", TEXT($N$30, "B/. #,##0_); (#,##0)"))</f>
        <v xml:space="preserve">B/.4.06 Prima mensual - B/. 3,000 /B/. 30,000 </v>
      </c>
      <c r="T38" s="94" t="str">
        <f>+CONCATENATE("B/.", ROUND(N36, 2)," ", "Prima mensual", " ","-", " ", TEXT($N$31, "B/. #,##0_); (#,##0)"), "/", TEXT($N$30, "B/. #,##0_); (#,##0)"))</f>
        <v xml:space="preserve">B/.3.55 Prima mensual - B/. 3,000 /B/. 30,000 </v>
      </c>
      <c r="U38" s="94" t="str">
        <f>+CONCATENATE("B/.", ROUND(N37,2), " ", "Prima mensual", " ","-", " ", TEXT($N$31, "B/. #,##0_); (#,##0)"), "/", TEXT($N$30, "B/. #,##0_); (#,##0)"))</f>
        <v xml:space="preserve">B/.9.64 Prima mensual - B/. 3,000 /B/. 30,000 </v>
      </c>
      <c r="V38" s="94" t="str">
        <f>+CONCATENATE("B/.", ROUND(N38, 2)," ", "Prima mensual", " ","-", " ", TEXT($N$31, "B/. #,##0_); (#,##0)"), "/", TEXT($N$30, "B/. #,##0_); (#,##0)"))</f>
        <v xml:space="preserve">B/.5.08 Prima mensual - B/. 3,000 /B/. 30,000 </v>
      </c>
      <c r="W38" s="94" t="str">
        <f>+CONCATENATE("B/.", ROUND(N39,2), " ", "Prima mensual", " ","-", " ", TEXT($N$31, "B/. #,##0_); (#,##0)"), "/", TEXT($N$30, "B/. #,##0_); (#,##0)"))</f>
        <v xml:space="preserve">B/.4.06 Prima mensual - B/. 3,000 /B/. 30,000 </v>
      </c>
      <c r="X38" s="94" t="str">
        <f>+CONCATENATE("B/.", ROUND(N40, 2), " ", "Prima mensual", " ","-", " ", TEXT($N$31, "B/. #,##0_); (#,##0)"), "/", TEXT($N$30, "B/. #,##0_); (#,##0)"))</f>
        <v xml:space="preserve">B/.5.08 Prima mensual - B/. 3,000 /B/. 30,000 </v>
      </c>
      <c r="Y38" s="94" t="str">
        <f>+CONCATENATE("B/.", ROUND(N41, 2)," ", "Prima mensual", " ","-", " ", TEXT($N$31, "B/. #,##0_); (#,##0)"), "/", TEXT($N$30, "B/. #,##0_); (#,##0)"))</f>
        <v xml:space="preserve">B/.6.9 Prima mensual - B/. 3,000 /B/. 30,000 </v>
      </c>
      <c r="Z38" s="94" t="str">
        <f>+CONCATENATE("B/.", ROUND(N42, 2)," ", "Prima mensual", " ","-", " ", TEXT($N$31, "B/. #,##0_); (#,##0)"), "/", TEXT($N$30, "B/. #,##0_); (#,##0)"))</f>
        <v xml:space="preserve">B/.20.91 Prima mensual - B/. 3,000 /B/. 30,000 </v>
      </c>
      <c r="AA38" s="94" t="str">
        <f>+CONCATENATE("B/.", ROUND(N42,2), " ", "Prima mensual", " ","-", " ", TEXT($N$31, "B/. #,##0_); (#,##0)"), "/", TEXT($N$30, "B/. #,##0_); (#,##0)"))</f>
        <v xml:space="preserve">B/.20.91 Prima mensual - B/. 3,000 /B/. 30,000 </v>
      </c>
    </row>
    <row r="39" spans="2:27" x14ac:dyDescent="0.25">
      <c r="B39" s="616"/>
      <c r="C39" s="91" t="s">
        <v>1810</v>
      </c>
      <c r="D39" s="92">
        <f>((([2]Hoja1!$F$3*[2]Hoja2!D$16)/1000+VLOOKUP([2]Hoja2!D$17,[2]Hoja1!$U$10:$W$15,3,0))*$A39)</f>
        <v>0</v>
      </c>
      <c r="E39" s="92">
        <f>((([2]Hoja1!$F$3*[2]Hoja2!E$16)/1000+VLOOKUP([2]Hoja2!E$17,[2]Hoja1!$U$10:$W$15,3,0))*$A39)</f>
        <v>0</v>
      </c>
      <c r="F39" s="92">
        <f>((([2]Hoja1!$F$3*[2]Hoja2!F$16)/1000+VLOOKUP([2]Hoja2!F$17,[2]Hoja1!$U$10:$W$15,3,0))*$A39)</f>
        <v>0</v>
      </c>
      <c r="G39" s="100">
        <f>((([2]Hoja1!$F$3*[2]Hoja2!G$16)/1000+VLOOKUP([2]Hoja2!G$17,[2]Hoja1!$U$10:$W$15,3,0))*$A39)</f>
        <v>0</v>
      </c>
      <c r="H39" s="102">
        <f t="shared" si="0"/>
        <v>0.8</v>
      </c>
      <c r="I39" s="102">
        <f t="shared" si="0"/>
        <v>1.3112000000000001</v>
      </c>
      <c r="J39" s="102">
        <f t="shared" si="0"/>
        <v>1.5032000000000001</v>
      </c>
      <c r="K39" s="102">
        <f t="shared" si="0"/>
        <v>2.04</v>
      </c>
      <c r="L39" s="102">
        <f t="shared" si="0"/>
        <v>2.8600000000000003</v>
      </c>
      <c r="M39" s="102">
        <f t="shared" si="0"/>
        <v>3.4</v>
      </c>
      <c r="N39" s="102">
        <f t="shared" si="0"/>
        <v>4.0600000000000005</v>
      </c>
    </row>
    <row r="40" spans="2:27" x14ac:dyDescent="0.25">
      <c r="B40" s="616"/>
      <c r="C40" s="91" t="s">
        <v>1811</v>
      </c>
      <c r="D40" s="92">
        <f>((([2]Hoja1!$F$3*[2]Hoja2!D$16)/1000+VLOOKUP([2]Hoja2!D$17,[2]Hoja1!$U$10:$W$15,3,0))*$A40)</f>
        <v>0</v>
      </c>
      <c r="E40" s="92">
        <f>((([2]Hoja1!$F$3*[2]Hoja2!E$16)/1000+VLOOKUP([2]Hoja2!E$17,[2]Hoja1!$U$10:$W$15,3,0))*$A40)</f>
        <v>0</v>
      </c>
      <c r="F40" s="92">
        <f>((([2]Hoja1!$F$3*[2]Hoja2!F$16)/1000+VLOOKUP([2]Hoja2!F$17,[2]Hoja1!$U$10:$W$15,3,0))*$A40)</f>
        <v>0</v>
      </c>
      <c r="G40" s="100">
        <f>((([2]Hoja1!$F$3*[2]Hoja2!G$16)/1000+VLOOKUP([2]Hoja2!G$17,[2]Hoja1!$U$10:$W$15,3,0))*$A40)</f>
        <v>0</v>
      </c>
      <c r="H40" s="102">
        <f t="shared" si="0"/>
        <v>1</v>
      </c>
      <c r="I40" s="102">
        <f t="shared" si="0"/>
        <v>1.639</v>
      </c>
      <c r="J40" s="102">
        <f t="shared" si="0"/>
        <v>1.879</v>
      </c>
      <c r="K40" s="102">
        <f t="shared" si="0"/>
        <v>2.5499999999999998</v>
      </c>
      <c r="L40" s="102">
        <f t="shared" si="0"/>
        <v>3.5750000000000002</v>
      </c>
      <c r="M40" s="102">
        <f t="shared" si="0"/>
        <v>4.25</v>
      </c>
      <c r="N40" s="102">
        <f t="shared" si="0"/>
        <v>5.0750000000000002</v>
      </c>
    </row>
    <row r="41" spans="2:27" x14ac:dyDescent="0.25">
      <c r="B41" s="616"/>
      <c r="C41" s="91" t="s">
        <v>1812</v>
      </c>
      <c r="D41" s="92">
        <f>((([2]Hoja1!$F$3*[2]Hoja2!D$16)/1000+VLOOKUP([2]Hoja2!D$17,[2]Hoja1!$U$10:$W$15,3,0))*$A41)</f>
        <v>0</v>
      </c>
      <c r="E41" s="92">
        <f>((([2]Hoja1!$F$3*[2]Hoja2!E$16)/1000+VLOOKUP([2]Hoja2!E$17,[2]Hoja1!$U$10:$W$15,3,0))*$A41)</f>
        <v>0</v>
      </c>
      <c r="F41" s="92">
        <f>((([2]Hoja1!$F$3*[2]Hoja2!F$16)/1000+VLOOKUP([2]Hoja2!F$17,[2]Hoja1!$U$10:$W$15,3,0))*$A41)</f>
        <v>0</v>
      </c>
      <c r="G41" s="100">
        <f>((([2]Hoja1!$F$3*[2]Hoja2!G$16)/1000+VLOOKUP([2]Hoja2!G$17,[2]Hoja1!$U$10:$W$15,3,0))*$A41)</f>
        <v>0</v>
      </c>
      <c r="H41" s="102">
        <f t="shared" si="0"/>
        <v>1.36</v>
      </c>
      <c r="I41" s="102">
        <f t="shared" si="0"/>
        <v>2.2290400000000004</v>
      </c>
      <c r="J41" s="102">
        <f t="shared" si="0"/>
        <v>2.5554399999999999</v>
      </c>
      <c r="K41" s="102">
        <f t="shared" si="0"/>
        <v>3.468</v>
      </c>
      <c r="L41" s="102">
        <f t="shared" si="0"/>
        <v>4.8620000000000001</v>
      </c>
      <c r="M41" s="102">
        <f t="shared" si="0"/>
        <v>5.78</v>
      </c>
      <c r="N41" s="102">
        <f t="shared" si="0"/>
        <v>6.902000000000001</v>
      </c>
    </row>
    <row r="42" spans="2:27" x14ac:dyDescent="0.25">
      <c r="B42" s="616"/>
      <c r="C42" s="91" t="s">
        <v>1813</v>
      </c>
      <c r="D42" s="92">
        <f>((([2]Hoja1!$F$3*[2]Hoja2!D$16)/1000+VLOOKUP([2]Hoja2!D$17,[2]Hoja1!$U$10:$W$15,3,0))*$A42)</f>
        <v>0</v>
      </c>
      <c r="E42" s="92">
        <f>((([2]Hoja1!$F$3*[2]Hoja2!E$16)/1000+VLOOKUP([2]Hoja2!E$17,[2]Hoja1!$U$10:$W$15,3,0))*$A42)</f>
        <v>0</v>
      </c>
      <c r="F42" s="92">
        <f>((([2]Hoja1!$F$3*[2]Hoja2!F$16)/1000+VLOOKUP([2]Hoja2!F$17,[2]Hoja1!$U$10:$W$15,3,0))*$A42)</f>
        <v>0</v>
      </c>
      <c r="G42" s="100">
        <f>((([2]Hoja1!$F$3*[2]Hoja2!G$16)/1000+VLOOKUP([2]Hoja2!G$17,[2]Hoja1!$U$10:$W$15,3,0))*$A42)</f>
        <v>0</v>
      </c>
      <c r="H42" s="102">
        <f t="shared" si="0"/>
        <v>4.12</v>
      </c>
      <c r="I42" s="102">
        <f t="shared" si="0"/>
        <v>6.7526800000000007</v>
      </c>
      <c r="J42" s="102">
        <f t="shared" si="0"/>
        <v>7.7414800000000001</v>
      </c>
      <c r="K42" s="102">
        <f t="shared" si="0"/>
        <v>10.506</v>
      </c>
      <c r="L42" s="102">
        <f t="shared" si="0"/>
        <v>14.728999999999999</v>
      </c>
      <c r="M42" s="102">
        <f t="shared" si="0"/>
        <v>17.509999999999998</v>
      </c>
      <c r="N42" s="102">
        <f t="shared" si="0"/>
        <v>20.908999999999999</v>
      </c>
    </row>
  </sheetData>
  <mergeCells count="6">
    <mergeCell ref="B32:B42"/>
    <mergeCell ref="B2:B3"/>
    <mergeCell ref="B4:B14"/>
    <mergeCell ref="B16:B17"/>
    <mergeCell ref="B18:B28"/>
    <mergeCell ref="B30:B3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106"/>
  <sheetViews>
    <sheetView topLeftCell="A58" zoomScale="85" zoomScaleNormal="85" workbookViewId="0">
      <selection activeCell="E77" sqref="E77"/>
    </sheetView>
  </sheetViews>
  <sheetFormatPr baseColWidth="10" defaultRowHeight="15" x14ac:dyDescent="0.25"/>
  <cols>
    <col min="1" max="1" width="12.140625" customWidth="1"/>
    <col min="2" max="2" width="31.5703125" customWidth="1"/>
    <col min="3" max="3" width="37" customWidth="1"/>
    <col min="4" max="4" width="25.140625" customWidth="1"/>
    <col min="5" max="5" width="101.7109375" customWidth="1"/>
  </cols>
  <sheetData>
    <row r="1" spans="1:5" x14ac:dyDescent="0.25">
      <c r="A1" s="55" t="s">
        <v>1266</v>
      </c>
      <c r="B1" s="56" t="s">
        <v>1485</v>
      </c>
      <c r="C1" s="56" t="s">
        <v>1449</v>
      </c>
      <c r="D1" s="56" t="s">
        <v>1450</v>
      </c>
      <c r="E1" s="56" t="s">
        <v>1451</v>
      </c>
    </row>
    <row r="2" spans="1:5" ht="30" x14ac:dyDescent="0.25">
      <c r="A2" s="57" t="s">
        <v>1456</v>
      </c>
      <c r="B2" s="50" t="s">
        <v>1467</v>
      </c>
      <c r="C2" s="50"/>
      <c r="D2" s="50" t="s">
        <v>1269</v>
      </c>
      <c r="E2" s="50" t="s">
        <v>1458</v>
      </c>
    </row>
    <row r="3" spans="1:5" ht="30" x14ac:dyDescent="0.25">
      <c r="A3" s="54" t="s">
        <v>1456</v>
      </c>
      <c r="B3" s="50" t="s">
        <v>1467</v>
      </c>
      <c r="C3" s="50"/>
      <c r="D3" s="50" t="s">
        <v>1269</v>
      </c>
      <c r="E3" s="50" t="s">
        <v>1512</v>
      </c>
    </row>
    <row r="4" spans="1:5" ht="30" x14ac:dyDescent="0.25">
      <c r="A4" s="54" t="s">
        <v>1452</v>
      </c>
      <c r="B4" s="50" t="s">
        <v>1467</v>
      </c>
      <c r="C4" s="50"/>
      <c r="D4" s="50" t="s">
        <v>1460</v>
      </c>
      <c r="E4" s="50" t="s">
        <v>1461</v>
      </c>
    </row>
    <row r="5" spans="1:5" ht="30" x14ac:dyDescent="0.25">
      <c r="A5" s="54" t="s">
        <v>1452</v>
      </c>
      <c r="B5" s="50" t="s">
        <v>1467</v>
      </c>
      <c r="C5" s="50"/>
      <c r="D5" s="50" t="s">
        <v>1460</v>
      </c>
      <c r="E5" s="50" t="s">
        <v>1461</v>
      </c>
    </row>
    <row r="6" spans="1:5" ht="30" x14ac:dyDescent="0.25">
      <c r="A6" s="57" t="s">
        <v>1456</v>
      </c>
      <c r="B6" s="58" t="s">
        <v>1457</v>
      </c>
      <c r="C6" s="58"/>
      <c r="D6" s="58" t="s">
        <v>1269</v>
      </c>
      <c r="E6" s="58" t="s">
        <v>1458</v>
      </c>
    </row>
    <row r="7" spans="1:5" ht="30" x14ac:dyDescent="0.25">
      <c r="A7" s="57" t="s">
        <v>1456</v>
      </c>
      <c r="B7" s="58" t="s">
        <v>1457</v>
      </c>
      <c r="C7" s="50"/>
      <c r="D7" s="50" t="s">
        <v>1269</v>
      </c>
      <c r="E7" s="50" t="s">
        <v>1513</v>
      </c>
    </row>
    <row r="8" spans="1:5" ht="30" x14ac:dyDescent="0.25">
      <c r="A8" s="57" t="s">
        <v>1452</v>
      </c>
      <c r="B8" s="58" t="s">
        <v>1457</v>
      </c>
      <c r="C8" s="50" t="s">
        <v>1459</v>
      </c>
      <c r="D8" s="50" t="s">
        <v>1460</v>
      </c>
      <c r="E8" s="50" t="s">
        <v>1461</v>
      </c>
    </row>
    <row r="9" spans="1:5" ht="30" x14ac:dyDescent="0.25">
      <c r="A9" s="57" t="s">
        <v>1452</v>
      </c>
      <c r="B9" s="58" t="s">
        <v>1457</v>
      </c>
      <c r="C9" s="50" t="s">
        <v>1459</v>
      </c>
      <c r="D9" s="50" t="s">
        <v>1460</v>
      </c>
      <c r="E9" s="50" t="s">
        <v>1461</v>
      </c>
    </row>
    <row r="10" spans="1:5" ht="30" x14ac:dyDescent="0.25">
      <c r="A10" s="57" t="s">
        <v>1452</v>
      </c>
      <c r="B10" s="58" t="s">
        <v>1457</v>
      </c>
      <c r="C10" s="50" t="s">
        <v>1459</v>
      </c>
      <c r="D10" s="50" t="s">
        <v>1454</v>
      </c>
      <c r="E10" s="50" t="s">
        <v>1462</v>
      </c>
    </row>
    <row r="11" spans="1:5" ht="30" x14ac:dyDescent="0.25">
      <c r="A11" s="57" t="s">
        <v>1452</v>
      </c>
      <c r="B11" s="58" t="s">
        <v>1457</v>
      </c>
      <c r="C11" s="50" t="s">
        <v>1463</v>
      </c>
      <c r="D11" s="50" t="s">
        <v>1460</v>
      </c>
      <c r="E11" s="50" t="s">
        <v>1461</v>
      </c>
    </row>
    <row r="12" spans="1:5" ht="30" x14ac:dyDescent="0.25">
      <c r="A12" s="57" t="s">
        <v>1452</v>
      </c>
      <c r="B12" s="58" t="s">
        <v>1457</v>
      </c>
      <c r="C12" s="50" t="s">
        <v>1464</v>
      </c>
      <c r="D12" s="50" t="s">
        <v>1460</v>
      </c>
      <c r="E12" s="50" t="s">
        <v>1461</v>
      </c>
    </row>
    <row r="13" spans="1:5" ht="30" x14ac:dyDescent="0.25">
      <c r="A13" s="57" t="s">
        <v>1452</v>
      </c>
      <c r="B13" s="58" t="s">
        <v>1457</v>
      </c>
      <c r="C13" s="50" t="s">
        <v>1464</v>
      </c>
      <c r="D13" s="50" t="s">
        <v>1460</v>
      </c>
      <c r="E13" s="50" t="s">
        <v>1461</v>
      </c>
    </row>
    <row r="14" spans="1:5" ht="30" x14ac:dyDescent="0.25">
      <c r="A14" s="57" t="s">
        <v>1452</v>
      </c>
      <c r="B14" s="58" t="s">
        <v>1457</v>
      </c>
      <c r="C14" s="50" t="s">
        <v>1464</v>
      </c>
      <c r="D14" s="50" t="s">
        <v>1454</v>
      </c>
      <c r="E14" s="50" t="s">
        <v>1462</v>
      </c>
    </row>
    <row r="15" spans="1:5" ht="30" x14ac:dyDescent="0.25">
      <c r="A15" s="57" t="s">
        <v>1456</v>
      </c>
      <c r="B15" s="58" t="s">
        <v>1457</v>
      </c>
      <c r="C15" s="50" t="s">
        <v>1464</v>
      </c>
      <c r="D15" s="50" t="s">
        <v>1465</v>
      </c>
      <c r="E15" s="50" t="s">
        <v>1466</v>
      </c>
    </row>
    <row r="16" spans="1:5" ht="30" x14ac:dyDescent="0.25">
      <c r="A16" s="57" t="s">
        <v>1456</v>
      </c>
      <c r="B16" s="58" t="s">
        <v>1457</v>
      </c>
      <c r="C16" s="50" t="s">
        <v>1459</v>
      </c>
      <c r="D16" s="50" t="s">
        <v>1465</v>
      </c>
      <c r="E16" s="50" t="s">
        <v>1466</v>
      </c>
    </row>
    <row r="17" spans="1:5" x14ac:dyDescent="0.25">
      <c r="A17" s="54" t="s">
        <v>1452</v>
      </c>
      <c r="B17" s="54" t="s">
        <v>1307</v>
      </c>
      <c r="C17" s="50" t="s">
        <v>1483</v>
      </c>
      <c r="D17" s="50" t="s">
        <v>1460</v>
      </c>
      <c r="E17" s="50" t="s">
        <v>1461</v>
      </c>
    </row>
    <row r="18" spans="1:5" x14ac:dyDescent="0.25">
      <c r="A18" s="54" t="s">
        <v>1452</v>
      </c>
      <c r="B18" s="54" t="s">
        <v>1307</v>
      </c>
      <c r="C18" s="50" t="s">
        <v>1816</v>
      </c>
      <c r="D18" s="50" t="s">
        <v>1460</v>
      </c>
      <c r="E18" s="50" t="s">
        <v>1461</v>
      </c>
    </row>
    <row r="19" spans="1:5" x14ac:dyDescent="0.25">
      <c r="A19" s="54" t="s">
        <v>1452</v>
      </c>
      <c r="B19" s="54" t="s">
        <v>1307</v>
      </c>
      <c r="C19" s="50" t="s">
        <v>1816</v>
      </c>
      <c r="D19" s="50" t="s">
        <v>1460</v>
      </c>
      <c r="E19" s="50" t="s">
        <v>1461</v>
      </c>
    </row>
    <row r="20" spans="1:5" x14ac:dyDescent="0.25">
      <c r="A20" s="54" t="s">
        <v>1452</v>
      </c>
      <c r="B20" s="54" t="s">
        <v>1307</v>
      </c>
      <c r="C20" s="50" t="s">
        <v>1816</v>
      </c>
      <c r="D20" s="50" t="s">
        <v>1454</v>
      </c>
      <c r="E20" s="49" t="s">
        <v>1815</v>
      </c>
    </row>
    <row r="21" spans="1:5" x14ac:dyDescent="0.25">
      <c r="A21" s="54" t="s">
        <v>1456</v>
      </c>
      <c r="B21" s="54" t="s">
        <v>1307</v>
      </c>
      <c r="C21" s="50" t="s">
        <v>1816</v>
      </c>
      <c r="D21" s="50"/>
      <c r="E21" s="50" t="s">
        <v>1466</v>
      </c>
    </row>
    <row r="22" spans="1:5" x14ac:dyDescent="0.25">
      <c r="A22" s="57" t="s">
        <v>1452</v>
      </c>
      <c r="B22" s="57" t="s">
        <v>1477</v>
      </c>
      <c r="C22" s="50" t="s">
        <v>1453</v>
      </c>
      <c r="D22" s="50" t="s">
        <v>1454</v>
      </c>
      <c r="E22" s="50" t="s">
        <v>1514</v>
      </c>
    </row>
    <row r="23" spans="1:5" x14ac:dyDescent="0.25">
      <c r="A23" s="57" t="s">
        <v>1452</v>
      </c>
      <c r="B23" s="57" t="s">
        <v>1477</v>
      </c>
      <c r="C23" s="50" t="s">
        <v>1455</v>
      </c>
      <c r="D23" s="50" t="s">
        <v>1454</v>
      </c>
      <c r="E23" s="50" t="s">
        <v>1515</v>
      </c>
    </row>
    <row r="24" spans="1:5" x14ac:dyDescent="0.25">
      <c r="A24" s="54" t="s">
        <v>1452</v>
      </c>
      <c r="B24" s="50" t="s">
        <v>1477</v>
      </c>
      <c r="C24" s="50" t="s">
        <v>1478</v>
      </c>
      <c r="D24" s="50" t="s">
        <v>1460</v>
      </c>
      <c r="E24" s="50" t="s">
        <v>1461</v>
      </c>
    </row>
    <row r="25" spans="1:5" x14ac:dyDescent="0.25">
      <c r="A25" s="54" t="s">
        <v>1452</v>
      </c>
      <c r="B25" s="50" t="s">
        <v>1477</v>
      </c>
      <c r="C25" s="50" t="s">
        <v>1479</v>
      </c>
      <c r="D25" s="50" t="s">
        <v>1460</v>
      </c>
      <c r="E25" s="50" t="s">
        <v>1461</v>
      </c>
    </row>
    <row r="26" spans="1:5" x14ac:dyDescent="0.25">
      <c r="A26" s="54" t="s">
        <v>1456</v>
      </c>
      <c r="B26" s="50" t="s">
        <v>1477</v>
      </c>
      <c r="C26" s="50" t="s">
        <v>1453</v>
      </c>
      <c r="D26" s="50"/>
      <c r="E26" s="50" t="s">
        <v>1466</v>
      </c>
    </row>
    <row r="27" spans="1:5" x14ac:dyDescent="0.25">
      <c r="A27" s="54" t="s">
        <v>1456</v>
      </c>
      <c r="B27" s="50" t="s">
        <v>1477</v>
      </c>
      <c r="C27" s="50" t="s">
        <v>1493</v>
      </c>
      <c r="D27" s="50"/>
      <c r="E27" s="50" t="s">
        <v>1466</v>
      </c>
    </row>
    <row r="28" spans="1:5" x14ac:dyDescent="0.25">
      <c r="A28" s="54" t="s">
        <v>1452</v>
      </c>
      <c r="B28" s="50" t="s">
        <v>1477</v>
      </c>
      <c r="C28" s="50" t="s">
        <v>1494</v>
      </c>
      <c r="D28" s="50" t="s">
        <v>1460</v>
      </c>
      <c r="E28" s="50" t="s">
        <v>1461</v>
      </c>
    </row>
    <row r="29" spans="1:5" x14ac:dyDescent="0.25">
      <c r="A29" s="54" t="s">
        <v>1452</v>
      </c>
      <c r="B29" s="50" t="s">
        <v>1477</v>
      </c>
      <c r="C29" s="50" t="s">
        <v>1407</v>
      </c>
      <c r="D29" s="50" t="s">
        <v>1460</v>
      </c>
      <c r="E29" s="50" t="s">
        <v>1461</v>
      </c>
    </row>
    <row r="30" spans="1:5" x14ac:dyDescent="0.25">
      <c r="A30" s="54" t="s">
        <v>1452</v>
      </c>
      <c r="B30" s="50" t="s">
        <v>1477</v>
      </c>
      <c r="C30" s="50" t="s">
        <v>1495</v>
      </c>
      <c r="D30" s="50" t="s">
        <v>1460</v>
      </c>
      <c r="E30" s="50" t="s">
        <v>1461</v>
      </c>
    </row>
    <row r="31" spans="1:5" x14ac:dyDescent="0.25">
      <c r="A31" s="54" t="s">
        <v>1452</v>
      </c>
      <c r="B31" s="50" t="s">
        <v>1477</v>
      </c>
      <c r="C31" s="50" t="s">
        <v>1496</v>
      </c>
      <c r="D31" s="50" t="s">
        <v>1460</v>
      </c>
      <c r="E31" s="50" t="s">
        <v>1461</v>
      </c>
    </row>
    <row r="32" spans="1:5" x14ac:dyDescent="0.25">
      <c r="A32" s="54" t="s">
        <v>1452</v>
      </c>
      <c r="B32" s="50" t="s">
        <v>1477</v>
      </c>
      <c r="C32" s="50" t="s">
        <v>1497</v>
      </c>
      <c r="D32" s="50" t="s">
        <v>1460</v>
      </c>
      <c r="E32" s="50" t="s">
        <v>1461</v>
      </c>
    </row>
    <row r="33" spans="1:5" x14ac:dyDescent="0.25">
      <c r="A33" s="54" t="s">
        <v>1452</v>
      </c>
      <c r="B33" s="50" t="s">
        <v>1477</v>
      </c>
      <c r="C33" s="50" t="s">
        <v>1498</v>
      </c>
      <c r="D33" s="50" t="s">
        <v>1454</v>
      </c>
      <c r="E33" s="50" t="s">
        <v>1462</v>
      </c>
    </row>
    <row r="34" spans="1:5" x14ac:dyDescent="0.25">
      <c r="A34" s="54" t="s">
        <v>1456</v>
      </c>
      <c r="B34" s="50" t="s">
        <v>1477</v>
      </c>
      <c r="C34" s="50" t="s">
        <v>1494</v>
      </c>
      <c r="D34" s="50"/>
      <c r="E34" s="50" t="s">
        <v>1503</v>
      </c>
    </row>
    <row r="35" spans="1:5" x14ac:dyDescent="0.25">
      <c r="A35" s="54" t="s">
        <v>1452</v>
      </c>
      <c r="B35" s="50" t="s">
        <v>1477</v>
      </c>
      <c r="C35" s="50" t="s">
        <v>1516</v>
      </c>
      <c r="D35" s="50" t="s">
        <v>1474</v>
      </c>
      <c r="E35" s="50" t="s">
        <v>1518</v>
      </c>
    </row>
    <row r="36" spans="1:5" x14ac:dyDescent="0.25">
      <c r="A36" s="54" t="s">
        <v>1452</v>
      </c>
      <c r="B36" s="50" t="s">
        <v>1477</v>
      </c>
      <c r="C36" s="50" t="s">
        <v>1517</v>
      </c>
      <c r="D36" s="50" t="s">
        <v>1474</v>
      </c>
      <c r="E36" s="50" t="s">
        <v>1519</v>
      </c>
    </row>
    <row r="37" spans="1:5" x14ac:dyDescent="0.25">
      <c r="A37" s="52" t="s">
        <v>1452</v>
      </c>
      <c r="B37" s="53" t="s">
        <v>1477</v>
      </c>
      <c r="C37" s="53" t="s">
        <v>1800</v>
      </c>
      <c r="D37" s="53" t="s">
        <v>1460</v>
      </c>
      <c r="E37" s="53" t="s">
        <v>1461</v>
      </c>
    </row>
    <row r="38" spans="1:5" s="88" customFormat="1" x14ac:dyDescent="0.25">
      <c r="A38" s="52" t="s">
        <v>1452</v>
      </c>
      <c r="B38" s="53" t="s">
        <v>1477</v>
      </c>
      <c r="C38" s="53" t="s">
        <v>1800</v>
      </c>
      <c r="D38" s="53" t="s">
        <v>1474</v>
      </c>
      <c r="E38" s="53" t="s">
        <v>1802</v>
      </c>
    </row>
    <row r="39" spans="1:5" x14ac:dyDescent="0.25">
      <c r="A39" s="52" t="s">
        <v>1452</v>
      </c>
      <c r="B39" s="53" t="s">
        <v>1477</v>
      </c>
      <c r="C39" s="53" t="s">
        <v>1801</v>
      </c>
      <c r="D39" s="53" t="s">
        <v>1460</v>
      </c>
      <c r="E39" s="53" t="s">
        <v>1461</v>
      </c>
    </row>
    <row r="40" spans="1:5" s="88" customFormat="1" x14ac:dyDescent="0.25">
      <c r="A40" s="52" t="s">
        <v>1452</v>
      </c>
      <c r="B40" s="53" t="s">
        <v>1477</v>
      </c>
      <c r="C40" s="53" t="s">
        <v>1871</v>
      </c>
      <c r="D40" s="53" t="s">
        <v>1460</v>
      </c>
      <c r="E40" s="53" t="s">
        <v>1461</v>
      </c>
    </row>
    <row r="41" spans="1:5" s="88" customFormat="1" x14ac:dyDescent="0.25">
      <c r="A41" s="52" t="s">
        <v>1452</v>
      </c>
      <c r="B41" s="53" t="s">
        <v>1477</v>
      </c>
      <c r="C41" s="53" t="s">
        <v>1872</v>
      </c>
      <c r="D41" s="53" t="s">
        <v>1460</v>
      </c>
      <c r="E41" s="53" t="s">
        <v>1461</v>
      </c>
    </row>
    <row r="42" spans="1:5" s="88" customFormat="1" x14ac:dyDescent="0.25">
      <c r="A42" s="52" t="s">
        <v>1452</v>
      </c>
      <c r="B42" s="53" t="s">
        <v>1477</v>
      </c>
      <c r="C42" s="53" t="s">
        <v>1873</v>
      </c>
      <c r="D42" s="53" t="s">
        <v>1460</v>
      </c>
      <c r="E42" s="53" t="s">
        <v>1461</v>
      </c>
    </row>
    <row r="43" spans="1:5" x14ac:dyDescent="0.25">
      <c r="A43" s="54" t="s">
        <v>1452</v>
      </c>
      <c r="B43" s="50" t="s">
        <v>1477</v>
      </c>
      <c r="C43" s="50" t="s">
        <v>1803</v>
      </c>
      <c r="D43" s="50" t="s">
        <v>1474</v>
      </c>
      <c r="E43" s="50" t="s">
        <v>1802</v>
      </c>
    </row>
    <row r="44" spans="1:5" x14ac:dyDescent="0.25">
      <c r="A44" s="54" t="s">
        <v>1452</v>
      </c>
      <c r="B44" s="50" t="s">
        <v>1477</v>
      </c>
      <c r="C44" s="50" t="s">
        <v>1804</v>
      </c>
      <c r="D44" s="50" t="s">
        <v>1460</v>
      </c>
      <c r="E44" s="50" t="s">
        <v>1461</v>
      </c>
    </row>
    <row r="45" spans="1:5" x14ac:dyDescent="0.25">
      <c r="A45" s="54" t="s">
        <v>1452</v>
      </c>
      <c r="B45" s="50" t="s">
        <v>1477</v>
      </c>
      <c r="C45" s="50" t="s">
        <v>1814</v>
      </c>
      <c r="D45" s="50" t="s">
        <v>1474</v>
      </c>
      <c r="E45" s="50" t="s">
        <v>1802</v>
      </c>
    </row>
    <row r="46" spans="1:5" x14ac:dyDescent="0.25">
      <c r="A46" s="54" t="s">
        <v>1452</v>
      </c>
      <c r="B46" s="50" t="s">
        <v>1421</v>
      </c>
      <c r="C46" s="50" t="s">
        <v>1470</v>
      </c>
      <c r="D46" s="50" t="s">
        <v>1460</v>
      </c>
      <c r="E46" s="50" t="s">
        <v>1461</v>
      </c>
    </row>
    <row r="47" spans="1:5" x14ac:dyDescent="0.25">
      <c r="A47" s="54" t="s">
        <v>1452</v>
      </c>
      <c r="B47" s="50" t="s">
        <v>1421</v>
      </c>
      <c r="C47" s="50" t="s">
        <v>1471</v>
      </c>
      <c r="D47" s="50" t="s">
        <v>1460</v>
      </c>
      <c r="E47" s="50" t="s">
        <v>1461</v>
      </c>
    </row>
    <row r="48" spans="1:5" x14ac:dyDescent="0.25">
      <c r="A48" s="54" t="s">
        <v>1452</v>
      </c>
      <c r="B48" s="50" t="s">
        <v>1421</v>
      </c>
      <c r="C48" s="50" t="s">
        <v>1472</v>
      </c>
      <c r="D48" s="50" t="s">
        <v>1460</v>
      </c>
      <c r="E48" s="50" t="s">
        <v>1461</v>
      </c>
    </row>
    <row r="49" spans="1:5" x14ac:dyDescent="0.25">
      <c r="A49" s="54" t="s">
        <v>1452</v>
      </c>
      <c r="B49" s="50" t="s">
        <v>1421</v>
      </c>
      <c r="C49" s="50" t="s">
        <v>1473</v>
      </c>
      <c r="D49" s="50" t="s">
        <v>1460</v>
      </c>
      <c r="E49" s="50" t="s">
        <v>1461</v>
      </c>
    </row>
    <row r="50" spans="1:5" x14ac:dyDescent="0.25">
      <c r="A50" s="54" t="s">
        <v>1452</v>
      </c>
      <c r="B50" s="50" t="s">
        <v>1583</v>
      </c>
      <c r="C50" s="50" t="s">
        <v>1470</v>
      </c>
      <c r="D50" s="50" t="s">
        <v>1460</v>
      </c>
      <c r="E50" s="50" t="s">
        <v>1461</v>
      </c>
    </row>
    <row r="51" spans="1:5" x14ac:dyDescent="0.25">
      <c r="A51" s="54" t="s">
        <v>1452</v>
      </c>
      <c r="B51" s="50" t="s">
        <v>1583</v>
      </c>
      <c r="C51" s="50" t="s">
        <v>1471</v>
      </c>
      <c r="D51" s="50" t="s">
        <v>1460</v>
      </c>
      <c r="E51" s="50" t="s">
        <v>1461</v>
      </c>
    </row>
    <row r="52" spans="1:5" x14ac:dyDescent="0.25">
      <c r="A52" s="54" t="s">
        <v>1452</v>
      </c>
      <c r="B52" s="50" t="s">
        <v>1583</v>
      </c>
      <c r="C52" s="50" t="s">
        <v>1472</v>
      </c>
      <c r="D52" s="50" t="s">
        <v>1460</v>
      </c>
      <c r="E52" s="50" t="s">
        <v>1461</v>
      </c>
    </row>
    <row r="53" spans="1:5" x14ac:dyDescent="0.25">
      <c r="A53" s="54" t="s">
        <v>1452</v>
      </c>
      <c r="B53" s="50" t="s">
        <v>1583</v>
      </c>
      <c r="C53" s="50" t="s">
        <v>1473</v>
      </c>
      <c r="D53" s="50" t="s">
        <v>1460</v>
      </c>
      <c r="E53" s="50" t="s">
        <v>1461</v>
      </c>
    </row>
    <row r="54" spans="1:5" x14ac:dyDescent="0.25">
      <c r="A54" s="54" t="s">
        <v>1452</v>
      </c>
      <c r="B54" s="50" t="s">
        <v>1583</v>
      </c>
      <c r="C54" s="50" t="s">
        <v>1438</v>
      </c>
      <c r="D54" s="50" t="s">
        <v>1468</v>
      </c>
      <c r="E54" s="50" t="s">
        <v>1469</v>
      </c>
    </row>
    <row r="55" spans="1:5" x14ac:dyDescent="0.25">
      <c r="A55" s="54" t="s">
        <v>1452</v>
      </c>
      <c r="B55" s="50" t="s">
        <v>1583</v>
      </c>
      <c r="C55" s="50" t="s">
        <v>1530</v>
      </c>
      <c r="D55" s="50" t="s">
        <v>1474</v>
      </c>
      <c r="E55" s="84" t="s">
        <v>1531</v>
      </c>
    </row>
    <row r="56" spans="1:5" x14ac:dyDescent="0.25">
      <c r="A56" s="54" t="s">
        <v>1452</v>
      </c>
      <c r="B56" s="50" t="s">
        <v>1583</v>
      </c>
      <c r="C56" s="50" t="s">
        <v>1446</v>
      </c>
      <c r="D56" s="50" t="s">
        <v>1460</v>
      </c>
      <c r="E56" s="50" t="s">
        <v>1461</v>
      </c>
    </row>
    <row r="57" spans="1:5" x14ac:dyDescent="0.25">
      <c r="A57" s="54" t="s">
        <v>1452</v>
      </c>
      <c r="B57" s="50" t="s">
        <v>1583</v>
      </c>
      <c r="C57" s="50" t="s">
        <v>1445</v>
      </c>
      <c r="D57" s="50" t="s">
        <v>1484</v>
      </c>
      <c r="E57" s="50" t="s">
        <v>1489</v>
      </c>
    </row>
    <row r="58" spans="1:5" ht="30" x14ac:dyDescent="0.25">
      <c r="A58" s="54" t="s">
        <v>1452</v>
      </c>
      <c r="B58" s="50" t="s">
        <v>1527</v>
      </c>
      <c r="C58" s="50" t="s">
        <v>1527</v>
      </c>
      <c r="D58" s="50" t="s">
        <v>1460</v>
      </c>
      <c r="E58" s="50" t="s">
        <v>1461</v>
      </c>
    </row>
    <row r="59" spans="1:5" ht="30" x14ac:dyDescent="0.25">
      <c r="A59" s="54" t="s">
        <v>1452</v>
      </c>
      <c r="B59" s="50" t="s">
        <v>1527</v>
      </c>
      <c r="C59" s="54" t="s">
        <v>1529</v>
      </c>
      <c r="D59" s="50" t="s">
        <v>1484</v>
      </c>
      <c r="E59" s="50" t="s">
        <v>1489</v>
      </c>
    </row>
    <row r="60" spans="1:5" x14ac:dyDescent="0.25">
      <c r="A60" s="54" t="s">
        <v>1452</v>
      </c>
      <c r="B60" s="50" t="s">
        <v>1486</v>
      </c>
      <c r="C60" s="50" t="s">
        <v>1290</v>
      </c>
      <c r="D60" s="50" t="s">
        <v>1460</v>
      </c>
      <c r="E60" s="50" t="s">
        <v>1461</v>
      </c>
    </row>
    <row r="61" spans="1:5" x14ac:dyDescent="0.25">
      <c r="A61" s="54" t="s">
        <v>1452</v>
      </c>
      <c r="B61" s="50" t="s">
        <v>1486</v>
      </c>
      <c r="C61" s="50" t="s">
        <v>1293</v>
      </c>
      <c r="D61" s="50" t="s">
        <v>1460</v>
      </c>
      <c r="E61" s="50" t="s">
        <v>1461</v>
      </c>
    </row>
    <row r="62" spans="1:5" x14ac:dyDescent="0.25">
      <c r="A62" s="54" t="s">
        <v>1452</v>
      </c>
      <c r="B62" s="50" t="s">
        <v>1486</v>
      </c>
      <c r="C62" s="50" t="s">
        <v>1294</v>
      </c>
      <c r="D62" s="50" t="s">
        <v>1460</v>
      </c>
      <c r="E62" s="50" t="s">
        <v>1461</v>
      </c>
    </row>
    <row r="63" spans="1:5" x14ac:dyDescent="0.25">
      <c r="A63" s="54" t="s">
        <v>1456</v>
      </c>
      <c r="B63" s="50" t="s">
        <v>1486</v>
      </c>
      <c r="C63" s="50" t="s">
        <v>1294</v>
      </c>
      <c r="D63" s="50"/>
      <c r="E63" s="50" t="s">
        <v>1503</v>
      </c>
    </row>
    <row r="64" spans="1:5" x14ac:dyDescent="0.25">
      <c r="A64" s="54" t="s">
        <v>1452</v>
      </c>
      <c r="B64" s="50" t="s">
        <v>1486</v>
      </c>
      <c r="C64" s="50" t="s">
        <v>1480</v>
      </c>
      <c r="D64" s="50" t="s">
        <v>1460</v>
      </c>
      <c r="E64" s="50" t="s">
        <v>1461</v>
      </c>
    </row>
    <row r="65" spans="1:5" x14ac:dyDescent="0.25">
      <c r="A65" s="54" t="s">
        <v>1452</v>
      </c>
      <c r="B65" s="50" t="s">
        <v>1486</v>
      </c>
      <c r="C65" s="50" t="s">
        <v>1295</v>
      </c>
      <c r="D65" s="50" t="s">
        <v>1460</v>
      </c>
      <c r="E65" s="50" t="s">
        <v>1461</v>
      </c>
    </row>
    <row r="66" spans="1:5" x14ac:dyDescent="0.25">
      <c r="A66" s="54" t="s">
        <v>1452</v>
      </c>
      <c r="B66" s="50" t="s">
        <v>1486</v>
      </c>
      <c r="C66" s="50" t="s">
        <v>1481</v>
      </c>
      <c r="D66" s="50" t="s">
        <v>1460</v>
      </c>
      <c r="E66" s="50" t="s">
        <v>1461</v>
      </c>
    </row>
    <row r="67" spans="1:5" x14ac:dyDescent="0.25">
      <c r="A67" s="54" t="s">
        <v>1452</v>
      </c>
      <c r="B67" s="50" t="s">
        <v>1486</v>
      </c>
      <c r="C67" s="50" t="s">
        <v>1481</v>
      </c>
      <c r="D67" s="50" t="s">
        <v>1454</v>
      </c>
      <c r="E67" s="50" t="s">
        <v>1482</v>
      </c>
    </row>
    <row r="68" spans="1:5" x14ac:dyDescent="0.25">
      <c r="A68" s="54" t="s">
        <v>1452</v>
      </c>
      <c r="B68" s="50" t="s">
        <v>1486</v>
      </c>
      <c r="C68" s="50" t="s">
        <v>1487</v>
      </c>
      <c r="D68" s="50" t="s">
        <v>1460</v>
      </c>
      <c r="E68" s="50" t="s">
        <v>1461</v>
      </c>
    </row>
    <row r="69" spans="1:5" x14ac:dyDescent="0.25">
      <c r="A69" s="54" t="s">
        <v>1452</v>
      </c>
      <c r="B69" s="50" t="s">
        <v>1486</v>
      </c>
      <c r="C69" s="50" t="s">
        <v>1417</v>
      </c>
      <c r="D69" s="49" t="s">
        <v>1460</v>
      </c>
      <c r="E69" s="49" t="s">
        <v>1461</v>
      </c>
    </row>
    <row r="70" spans="1:5" x14ac:dyDescent="0.25">
      <c r="A70" s="54" t="s">
        <v>1452</v>
      </c>
      <c r="B70" s="50" t="s">
        <v>1486</v>
      </c>
      <c r="C70" s="50" t="s">
        <v>1505</v>
      </c>
      <c r="D70" s="49" t="s">
        <v>1506</v>
      </c>
      <c r="E70" s="49" t="s">
        <v>1507</v>
      </c>
    </row>
    <row r="71" spans="1:5" x14ac:dyDescent="0.25">
      <c r="A71" s="54" t="s">
        <v>1452</v>
      </c>
      <c r="B71" s="50" t="s">
        <v>1486</v>
      </c>
      <c r="C71" s="50" t="s">
        <v>1299</v>
      </c>
      <c r="D71" s="50" t="s">
        <v>1460</v>
      </c>
      <c r="E71" s="50" t="s">
        <v>1461</v>
      </c>
    </row>
    <row r="72" spans="1:5" x14ac:dyDescent="0.25">
      <c r="A72" s="54" t="s">
        <v>1452</v>
      </c>
      <c r="B72" s="50" t="s">
        <v>1486</v>
      </c>
      <c r="C72" s="50" t="s">
        <v>1299</v>
      </c>
      <c r="D72" s="50" t="s">
        <v>1460</v>
      </c>
      <c r="E72" s="50" t="s">
        <v>1461</v>
      </c>
    </row>
    <row r="73" spans="1:5" x14ac:dyDescent="0.25">
      <c r="A73" s="54" t="s">
        <v>1452</v>
      </c>
      <c r="B73" s="50" t="s">
        <v>1486</v>
      </c>
      <c r="C73" s="50" t="s">
        <v>1299</v>
      </c>
      <c r="D73" s="50" t="s">
        <v>1454</v>
      </c>
      <c r="E73" s="49" t="s">
        <v>1815</v>
      </c>
    </row>
    <row r="74" spans="1:5" x14ac:dyDescent="0.25">
      <c r="A74" s="54" t="s">
        <v>1456</v>
      </c>
      <c r="B74" s="50" t="s">
        <v>1486</v>
      </c>
      <c r="C74" s="50" t="s">
        <v>1299</v>
      </c>
      <c r="D74" s="49"/>
      <c r="E74" s="50" t="s">
        <v>1466</v>
      </c>
    </row>
    <row r="75" spans="1:5" x14ac:dyDescent="0.25">
      <c r="A75" s="54" t="s">
        <v>1452</v>
      </c>
      <c r="B75" s="50" t="s">
        <v>1475</v>
      </c>
      <c r="C75" s="50" t="s">
        <v>1476</v>
      </c>
      <c r="D75" s="50" t="s">
        <v>1460</v>
      </c>
      <c r="E75" s="50" t="s">
        <v>1461</v>
      </c>
    </row>
    <row r="76" spans="1:5" x14ac:dyDescent="0.25">
      <c r="A76" s="54" t="s">
        <v>1452</v>
      </c>
      <c r="B76" s="50" t="s">
        <v>1475</v>
      </c>
      <c r="C76" s="50" t="s">
        <v>1271</v>
      </c>
      <c r="D76" s="50" t="s">
        <v>1460</v>
      </c>
      <c r="E76" s="50" t="s">
        <v>1461</v>
      </c>
    </row>
    <row r="77" spans="1:5" x14ac:dyDescent="0.25">
      <c r="A77" s="54" t="s">
        <v>1452</v>
      </c>
      <c r="B77" s="50" t="s">
        <v>1488</v>
      </c>
      <c r="C77" s="50" t="s">
        <v>1499</v>
      </c>
      <c r="D77" s="50" t="s">
        <v>1460</v>
      </c>
      <c r="E77" s="50" t="s">
        <v>1461</v>
      </c>
    </row>
    <row r="78" spans="1:5" ht="30" x14ac:dyDescent="0.25">
      <c r="A78" s="52" t="s">
        <v>1452</v>
      </c>
      <c r="B78" s="53" t="s">
        <v>1416</v>
      </c>
      <c r="C78" s="53" t="s">
        <v>1508</v>
      </c>
      <c r="D78" s="53" t="s">
        <v>1468</v>
      </c>
      <c r="E78" s="53" t="s">
        <v>1469</v>
      </c>
    </row>
    <row r="79" spans="1:5" ht="30" x14ac:dyDescent="0.25">
      <c r="A79" s="52" t="s">
        <v>1452</v>
      </c>
      <c r="B79" s="53" t="s">
        <v>1416</v>
      </c>
      <c r="C79" s="53" t="s">
        <v>1242</v>
      </c>
      <c r="D79" s="53" t="s">
        <v>1510</v>
      </c>
      <c r="E79" s="53" t="s">
        <v>1509</v>
      </c>
    </row>
    <row r="80" spans="1:5" ht="30" x14ac:dyDescent="0.25">
      <c r="A80" s="52" t="s">
        <v>1452</v>
      </c>
      <c r="B80" s="53" t="s">
        <v>1416</v>
      </c>
      <c r="C80" s="53" t="s">
        <v>150</v>
      </c>
      <c r="D80" s="53" t="s">
        <v>1460</v>
      </c>
      <c r="E80" s="53" t="s">
        <v>1461</v>
      </c>
    </row>
    <row r="81" spans="1:5" ht="30" x14ac:dyDescent="0.25">
      <c r="A81" s="52" t="s">
        <v>1452</v>
      </c>
      <c r="B81" s="53" t="s">
        <v>1416</v>
      </c>
      <c r="C81" s="53" t="s">
        <v>1422</v>
      </c>
      <c r="D81" s="53" t="s">
        <v>1460</v>
      </c>
      <c r="E81" s="53" t="s">
        <v>1461</v>
      </c>
    </row>
    <row r="82" spans="1:5" ht="30" x14ac:dyDescent="0.25">
      <c r="A82" s="52" t="s">
        <v>1452</v>
      </c>
      <c r="B82" s="53" t="s">
        <v>1416</v>
      </c>
      <c r="C82" s="53" t="s">
        <v>1417</v>
      </c>
      <c r="D82" s="53" t="s">
        <v>1460</v>
      </c>
      <c r="E82" s="53" t="s">
        <v>1461</v>
      </c>
    </row>
    <row r="83" spans="1:5" ht="30" x14ac:dyDescent="0.25">
      <c r="A83" s="52" t="s">
        <v>1452</v>
      </c>
      <c r="B83" s="53" t="s">
        <v>1416</v>
      </c>
      <c r="C83" s="53" t="s">
        <v>1417</v>
      </c>
      <c r="D83" s="53" t="s">
        <v>1460</v>
      </c>
      <c r="E83" s="53" t="s">
        <v>1461</v>
      </c>
    </row>
    <row r="84" spans="1:5" ht="30" x14ac:dyDescent="0.25">
      <c r="A84" s="52" t="s">
        <v>1456</v>
      </c>
      <c r="B84" s="53" t="s">
        <v>1416</v>
      </c>
      <c r="C84" s="53" t="s">
        <v>1417</v>
      </c>
      <c r="D84" s="53"/>
      <c r="E84" s="53" t="s">
        <v>1534</v>
      </c>
    </row>
    <row r="85" spans="1:5" ht="30" x14ac:dyDescent="0.25">
      <c r="A85" s="52" t="s">
        <v>1456</v>
      </c>
      <c r="B85" s="53" t="s">
        <v>1416</v>
      </c>
      <c r="C85" s="53" t="s">
        <v>1417</v>
      </c>
      <c r="D85" s="53"/>
      <c r="E85" s="53" t="s">
        <v>1535</v>
      </c>
    </row>
    <row r="86" spans="1:5" ht="30" x14ac:dyDescent="0.25">
      <c r="A86" s="52" t="s">
        <v>1452</v>
      </c>
      <c r="B86" s="53" t="s">
        <v>1416</v>
      </c>
      <c r="C86" s="53" t="s">
        <v>1524</v>
      </c>
      <c r="D86" s="53" t="s">
        <v>1460</v>
      </c>
      <c r="E86" s="53" t="s">
        <v>1525</v>
      </c>
    </row>
    <row r="87" spans="1:5" ht="30" x14ac:dyDescent="0.25">
      <c r="A87" s="52" t="s">
        <v>1452</v>
      </c>
      <c r="B87" s="53" t="s">
        <v>1416</v>
      </c>
      <c r="C87" s="53" t="s">
        <v>1425</v>
      </c>
      <c r="D87" s="53" t="s">
        <v>1460</v>
      </c>
      <c r="E87" s="53" t="s">
        <v>1461</v>
      </c>
    </row>
    <row r="88" spans="1:5" ht="30" x14ac:dyDescent="0.25">
      <c r="A88" s="52" t="s">
        <v>1452</v>
      </c>
      <c r="B88" s="53" t="s">
        <v>1416</v>
      </c>
      <c r="C88" s="63" t="s">
        <v>1432</v>
      </c>
      <c r="D88" s="53" t="s">
        <v>1460</v>
      </c>
      <c r="E88" s="53" t="s">
        <v>1461</v>
      </c>
    </row>
    <row r="89" spans="1:5" ht="30" x14ac:dyDescent="0.25">
      <c r="A89" s="52" t="s">
        <v>1452</v>
      </c>
      <c r="B89" s="53" t="s">
        <v>1416</v>
      </c>
      <c r="C89" s="63" t="s">
        <v>1432</v>
      </c>
      <c r="D89" s="53" t="s">
        <v>1460</v>
      </c>
      <c r="E89" s="53" t="s">
        <v>1461</v>
      </c>
    </row>
    <row r="90" spans="1:5" ht="30" x14ac:dyDescent="0.25">
      <c r="A90" s="52" t="s">
        <v>1452</v>
      </c>
      <c r="B90" s="53" t="s">
        <v>1416</v>
      </c>
      <c r="C90" s="63" t="s">
        <v>1432</v>
      </c>
      <c r="D90" s="53" t="s">
        <v>1454</v>
      </c>
      <c r="E90" s="53" t="s">
        <v>1522</v>
      </c>
    </row>
    <row r="91" spans="1:5" ht="30" x14ac:dyDescent="0.25">
      <c r="A91" s="52" t="s">
        <v>1452</v>
      </c>
      <c r="B91" s="53" t="s">
        <v>1416</v>
      </c>
      <c r="C91" s="63" t="s">
        <v>1432</v>
      </c>
      <c r="D91" s="53"/>
      <c r="E91" s="53" t="s">
        <v>1466</v>
      </c>
    </row>
    <row r="92" spans="1:5" ht="30" x14ac:dyDescent="0.25">
      <c r="A92" s="52" t="s">
        <v>1452</v>
      </c>
      <c r="B92" s="53" t="s">
        <v>1416</v>
      </c>
      <c r="C92" s="63" t="s">
        <v>1434</v>
      </c>
      <c r="D92" s="53" t="s">
        <v>1460</v>
      </c>
      <c r="E92" s="53" t="s">
        <v>1461</v>
      </c>
    </row>
    <row r="93" spans="1:5" ht="30" x14ac:dyDescent="0.25">
      <c r="A93" s="52" t="s">
        <v>1452</v>
      </c>
      <c r="B93" s="53" t="s">
        <v>1416</v>
      </c>
      <c r="C93" s="63" t="s">
        <v>1265</v>
      </c>
      <c r="D93" s="53" t="s">
        <v>1460</v>
      </c>
      <c r="E93" s="53" t="s">
        <v>1461</v>
      </c>
    </row>
    <row r="94" spans="1:5" ht="30" x14ac:dyDescent="0.25">
      <c r="A94" s="52" t="s">
        <v>1452</v>
      </c>
      <c r="B94" s="53" t="s">
        <v>1416</v>
      </c>
      <c r="C94" s="63" t="s">
        <v>1439</v>
      </c>
      <c r="D94" s="53" t="s">
        <v>1460</v>
      </c>
      <c r="E94" s="53" t="s">
        <v>1461</v>
      </c>
    </row>
    <row r="95" spans="1:5" ht="30" x14ac:dyDescent="0.25">
      <c r="A95" s="52" t="s">
        <v>1452</v>
      </c>
      <c r="B95" s="53" t="s">
        <v>1416</v>
      </c>
      <c r="C95" s="63" t="s">
        <v>1511</v>
      </c>
      <c r="D95" s="53" t="s">
        <v>1460</v>
      </c>
      <c r="E95" s="53" t="s">
        <v>1461</v>
      </c>
    </row>
    <row r="96" spans="1:5" ht="30" x14ac:dyDescent="0.25">
      <c r="A96" s="52" t="s">
        <v>1452</v>
      </c>
      <c r="B96" s="53" t="s">
        <v>1416</v>
      </c>
      <c r="C96" s="63" t="s">
        <v>1418</v>
      </c>
      <c r="D96" s="53" t="s">
        <v>1484</v>
      </c>
      <c r="E96" s="53" t="s">
        <v>1489</v>
      </c>
    </row>
    <row r="97" spans="1:5" x14ac:dyDescent="0.25">
      <c r="A97" s="54" t="s">
        <v>1452</v>
      </c>
      <c r="B97" s="50" t="s">
        <v>1490</v>
      </c>
      <c r="C97" s="50" t="s">
        <v>1491</v>
      </c>
      <c r="D97" s="50" t="s">
        <v>1460</v>
      </c>
      <c r="E97" s="59" t="s">
        <v>1461</v>
      </c>
    </row>
    <row r="98" spans="1:5" x14ac:dyDescent="0.25">
      <c r="A98" s="54" t="s">
        <v>1452</v>
      </c>
      <c r="B98" s="50" t="s">
        <v>1490</v>
      </c>
      <c r="C98" s="50" t="s">
        <v>1492</v>
      </c>
      <c r="D98" s="50" t="s">
        <v>1460</v>
      </c>
      <c r="E98" s="59" t="s">
        <v>1461</v>
      </c>
    </row>
    <row r="99" spans="1:5" x14ac:dyDescent="0.25">
      <c r="A99" s="54" t="s">
        <v>1452</v>
      </c>
      <c r="B99" s="50" t="s">
        <v>1490</v>
      </c>
      <c r="C99" s="50" t="s">
        <v>1417</v>
      </c>
      <c r="D99" s="50" t="s">
        <v>1460</v>
      </c>
      <c r="E99" s="59" t="s">
        <v>1461</v>
      </c>
    </row>
    <row r="100" spans="1:5" x14ac:dyDescent="0.25">
      <c r="A100" s="54" t="s">
        <v>1452</v>
      </c>
      <c r="B100" s="50" t="s">
        <v>1490</v>
      </c>
      <c r="C100" s="50" t="s">
        <v>1417</v>
      </c>
      <c r="D100" s="50" t="s">
        <v>1460</v>
      </c>
      <c r="E100" s="59" t="s">
        <v>1461</v>
      </c>
    </row>
    <row r="101" spans="1:5" x14ac:dyDescent="0.25">
      <c r="A101" s="54" t="s">
        <v>1452</v>
      </c>
      <c r="B101" s="50" t="s">
        <v>1500</v>
      </c>
      <c r="C101" s="50" t="s">
        <v>150</v>
      </c>
      <c r="D101" s="50" t="s">
        <v>1460</v>
      </c>
      <c r="E101" s="59" t="s">
        <v>1461</v>
      </c>
    </row>
    <row r="102" spans="1:5" x14ac:dyDescent="0.25">
      <c r="A102" s="54" t="s">
        <v>1452</v>
      </c>
      <c r="B102" s="50" t="s">
        <v>1500</v>
      </c>
      <c r="C102" s="50" t="s">
        <v>1417</v>
      </c>
      <c r="D102" s="50" t="s">
        <v>1460</v>
      </c>
      <c r="E102" s="59" t="s">
        <v>1461</v>
      </c>
    </row>
    <row r="103" spans="1:5" x14ac:dyDescent="0.25">
      <c r="A103" s="54" t="s">
        <v>1452</v>
      </c>
      <c r="B103" s="50" t="s">
        <v>1500</v>
      </c>
      <c r="C103" s="50" t="s">
        <v>1417</v>
      </c>
      <c r="D103" s="50" t="s">
        <v>1460</v>
      </c>
      <c r="E103" s="59" t="s">
        <v>1461</v>
      </c>
    </row>
    <row r="104" spans="1:5" x14ac:dyDescent="0.25">
      <c r="A104" s="54" t="s">
        <v>1456</v>
      </c>
      <c r="B104" s="50" t="s">
        <v>1500</v>
      </c>
      <c r="C104" s="50" t="s">
        <v>1417</v>
      </c>
      <c r="D104" s="50"/>
      <c r="E104" s="50" t="s">
        <v>1534</v>
      </c>
    </row>
    <row r="105" spans="1:5" x14ac:dyDescent="0.25">
      <c r="A105" s="54" t="s">
        <v>1456</v>
      </c>
      <c r="B105" s="50" t="s">
        <v>1500</v>
      </c>
      <c r="C105" s="50" t="s">
        <v>1417</v>
      </c>
      <c r="D105" s="50"/>
      <c r="E105" s="50" t="s">
        <v>1535</v>
      </c>
    </row>
    <row r="106" spans="1:5" x14ac:dyDescent="0.25">
      <c r="A106" s="54" t="s">
        <v>1452</v>
      </c>
      <c r="B106" s="50" t="s">
        <v>1500</v>
      </c>
      <c r="C106" s="50" t="s">
        <v>1501</v>
      </c>
      <c r="D106" s="50" t="s">
        <v>1474</v>
      </c>
      <c r="E106" s="50" t="s">
        <v>1502</v>
      </c>
    </row>
  </sheetData>
  <autoFilter ref="A1:E10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Y252"/>
  <sheetViews>
    <sheetView topLeftCell="AR1" workbookViewId="0">
      <selection activeCell="BD1" sqref="BD1:BD6"/>
    </sheetView>
  </sheetViews>
  <sheetFormatPr baseColWidth="10" defaultRowHeight="15" x14ac:dyDescent="0.25"/>
  <cols>
    <col min="1" max="1" width="85.7109375" style="27" bestFit="1" customWidth="1"/>
    <col min="2" max="4" width="11.42578125" style="27"/>
    <col min="5" max="5" width="36.140625" style="27" bestFit="1" customWidth="1"/>
    <col min="6" max="6" width="11.42578125" style="27"/>
    <col min="7" max="7" width="31.140625" style="27" bestFit="1" customWidth="1"/>
    <col min="8" max="19" width="11.42578125" style="27"/>
    <col min="20" max="20" width="31.5703125" style="27" customWidth="1"/>
    <col min="21" max="21" width="11.42578125" style="27"/>
    <col min="22" max="22" width="20" style="27" bestFit="1" customWidth="1"/>
    <col min="23" max="23" width="11.42578125" style="27"/>
    <col min="24" max="24" width="40.42578125" style="27" customWidth="1"/>
    <col min="25" max="25" width="11.42578125" style="27"/>
    <col min="26" max="26" width="24.28515625" style="27" customWidth="1"/>
    <col min="27" max="27" width="11.42578125" style="27"/>
    <col min="28" max="28" width="18.140625" style="27" bestFit="1" customWidth="1"/>
    <col min="29" max="30" width="11.42578125" style="27"/>
    <col min="31" max="31" width="12.85546875" style="27" bestFit="1" customWidth="1"/>
    <col min="32" max="32" width="11.42578125" style="27"/>
    <col min="33" max="33" width="13" style="27" bestFit="1" customWidth="1"/>
    <col min="34" max="40" width="11.42578125" style="27"/>
    <col min="41" max="41" width="59.85546875" style="27" customWidth="1"/>
    <col min="42" max="45" width="11.42578125" style="27"/>
    <col min="46" max="46" width="19.5703125" style="27" bestFit="1" customWidth="1"/>
    <col min="47" max="47" width="17.140625" style="27" bestFit="1" customWidth="1"/>
    <col min="48" max="51" width="11.42578125" style="27"/>
    <col min="52" max="52" width="13.85546875" style="27" bestFit="1" customWidth="1"/>
    <col min="53" max="55" width="11.42578125" style="27"/>
    <col min="56" max="56" width="26.7109375" style="27" bestFit="1" customWidth="1"/>
    <col min="57" max="61" width="11.42578125" style="27"/>
    <col min="62" max="62" width="22" style="27" bestFit="1" customWidth="1"/>
    <col min="63" max="63" width="11.42578125" style="27"/>
    <col min="64" max="64" width="61.28515625" style="27" bestFit="1" customWidth="1"/>
    <col min="65" max="65" width="11.42578125" style="27"/>
    <col min="66" max="66" width="18.42578125" style="27" customWidth="1"/>
    <col min="67" max="67" width="11.42578125" style="27"/>
    <col min="68" max="68" width="35.85546875" style="27" bestFit="1" customWidth="1"/>
    <col min="69" max="70" width="38.7109375" style="27" bestFit="1" customWidth="1"/>
    <col min="71" max="71" width="15.7109375" style="27" bestFit="1" customWidth="1"/>
    <col min="72" max="72" width="60.7109375" style="27" bestFit="1" customWidth="1"/>
    <col min="73" max="73" width="11.42578125" style="27"/>
    <col min="74" max="74" width="63.85546875" style="27" bestFit="1" customWidth="1"/>
    <col min="75" max="75" width="11.42578125" style="27"/>
    <col min="76" max="76" width="66.5703125" style="27" customWidth="1"/>
    <col min="77" max="77" width="59.140625" style="27" bestFit="1" customWidth="1"/>
    <col min="78" max="16384" width="11.42578125" style="27"/>
  </cols>
  <sheetData>
    <row r="1" spans="1:74" x14ac:dyDescent="0.25">
      <c r="A1" s="26" t="s">
        <v>145</v>
      </c>
      <c r="C1" s="32" t="s">
        <v>173</v>
      </c>
      <c r="E1" s="33" t="s">
        <v>416</v>
      </c>
      <c r="G1" s="26" t="s">
        <v>1237</v>
      </c>
      <c r="I1" s="26" t="s">
        <v>1243</v>
      </c>
      <c r="K1" s="26" t="s">
        <v>1248</v>
      </c>
      <c r="M1" s="34" t="s">
        <v>1251</v>
      </c>
      <c r="N1" s="34" t="s">
        <v>1252</v>
      </c>
      <c r="P1" s="26" t="s">
        <v>1267</v>
      </c>
      <c r="R1" s="26" t="s">
        <v>1269</v>
      </c>
      <c r="T1" s="26" t="s">
        <v>1270</v>
      </c>
      <c r="V1" s="26" t="s">
        <v>1272</v>
      </c>
      <c r="X1" s="26" t="s">
        <v>1282</v>
      </c>
      <c r="Z1" s="28" t="s">
        <v>1289</v>
      </c>
      <c r="AB1" s="26" t="s">
        <v>1291</v>
      </c>
      <c r="AG1" s="33" t="s">
        <v>1307</v>
      </c>
      <c r="AK1" s="26" t="s">
        <v>1319</v>
      </c>
      <c r="AM1" s="26" t="s">
        <v>1324</v>
      </c>
      <c r="AO1" s="26" t="s">
        <v>1295</v>
      </c>
      <c r="AR1" s="28" t="s">
        <v>1403</v>
      </c>
      <c r="AT1" s="33" t="s">
        <v>1404</v>
      </c>
      <c r="AW1" s="26" t="s">
        <v>1408</v>
      </c>
      <c r="AY1" s="26" t="s">
        <v>1410</v>
      </c>
      <c r="BB1" s="26" t="s">
        <v>1422</v>
      </c>
      <c r="BD1" s="33" t="s">
        <v>1426</v>
      </c>
      <c r="BF1" s="26" t="s">
        <v>1440</v>
      </c>
      <c r="BH1" s="26" t="s">
        <v>1447</v>
      </c>
      <c r="BJ1" s="64" t="s">
        <v>1528</v>
      </c>
      <c r="BL1" s="85" t="s">
        <v>1407</v>
      </c>
      <c r="BN1" s="26" t="s">
        <v>1795</v>
      </c>
      <c r="BP1" s="85" t="s">
        <v>1796</v>
      </c>
      <c r="BR1" s="95" t="s">
        <v>1804</v>
      </c>
      <c r="BV1" s="27" t="s">
        <v>1879</v>
      </c>
    </row>
    <row r="2" spans="1:74" x14ac:dyDescent="0.25">
      <c r="A2" s="2" t="s">
        <v>100</v>
      </c>
      <c r="C2" s="36">
        <v>1</v>
      </c>
      <c r="E2" s="35" t="s">
        <v>174</v>
      </c>
      <c r="G2" s="125" t="s">
        <v>1080</v>
      </c>
      <c r="I2" s="35" t="s">
        <v>1244</v>
      </c>
      <c r="K2" s="35" t="s">
        <v>1249</v>
      </c>
      <c r="M2" s="27">
        <v>1</v>
      </c>
      <c r="N2" s="27" t="s">
        <v>1253</v>
      </c>
      <c r="P2" s="35" t="s">
        <v>1129</v>
      </c>
      <c r="R2" s="35" t="s">
        <v>1244</v>
      </c>
      <c r="T2" s="37" t="s">
        <v>1288</v>
      </c>
      <c r="V2" s="35" t="s">
        <v>1273</v>
      </c>
      <c r="X2" s="38" t="s">
        <v>1281</v>
      </c>
      <c r="Z2" s="39" t="s">
        <v>1311</v>
      </c>
      <c r="AB2" s="2" t="s">
        <v>1569</v>
      </c>
      <c r="AG2" s="27" t="s">
        <v>1308</v>
      </c>
      <c r="AK2" s="35" t="s">
        <v>1320</v>
      </c>
      <c r="AM2" s="35">
        <v>1</v>
      </c>
      <c r="AO2" s="35" t="s">
        <v>1325</v>
      </c>
      <c r="AR2" s="39" t="s">
        <v>1419</v>
      </c>
      <c r="AT2" s="27" t="s">
        <v>1405</v>
      </c>
      <c r="AW2" s="35" t="s">
        <v>1415</v>
      </c>
      <c r="AY2" s="35" t="s">
        <v>1411</v>
      </c>
      <c r="BB2" s="35" t="s">
        <v>1423</v>
      </c>
      <c r="BD2" s="40" t="s">
        <v>1427</v>
      </c>
      <c r="BF2" s="47">
        <v>0</v>
      </c>
      <c r="BH2" s="35" t="s">
        <v>1244</v>
      </c>
      <c r="BJ2" s="36">
        <f>+'Persona Natural'!X15</f>
        <v>0</v>
      </c>
      <c r="BL2" s="35" t="s">
        <v>1584</v>
      </c>
      <c r="BM2" s="70"/>
      <c r="BN2" s="2" t="s">
        <v>1792</v>
      </c>
      <c r="BP2" s="86" t="s">
        <v>1882</v>
      </c>
      <c r="BR2" s="96" t="s">
        <v>1834</v>
      </c>
      <c r="BV2" s="27" t="s">
        <v>1880</v>
      </c>
    </row>
    <row r="3" spans="1:74" ht="26.25" x14ac:dyDescent="0.4">
      <c r="A3" s="2" t="s">
        <v>16</v>
      </c>
      <c r="C3" s="36">
        <v>2</v>
      </c>
      <c r="E3" s="41" t="s">
        <v>175</v>
      </c>
      <c r="G3" s="125" t="s">
        <v>1082</v>
      </c>
      <c r="I3" s="35" t="s">
        <v>1245</v>
      </c>
      <c r="K3" s="35" t="s">
        <v>1250</v>
      </c>
      <c r="M3" s="27">
        <v>2</v>
      </c>
      <c r="N3" s="27" t="s">
        <v>1254</v>
      </c>
      <c r="P3" s="35" t="s">
        <v>1268</v>
      </c>
      <c r="R3" s="35" t="s">
        <v>1245</v>
      </c>
      <c r="T3" s="35" t="s">
        <v>1283</v>
      </c>
      <c r="V3" s="35" t="s">
        <v>1274</v>
      </c>
      <c r="X3" s="38" t="s">
        <v>1280</v>
      </c>
      <c r="Z3" s="39" t="s">
        <v>1312</v>
      </c>
      <c r="AB3" s="2" t="s">
        <v>1570</v>
      </c>
      <c r="AG3" s="27" t="s">
        <v>1292</v>
      </c>
      <c r="AK3" s="35" t="s">
        <v>1321</v>
      </c>
      <c r="AM3" s="35">
        <v>2</v>
      </c>
      <c r="AO3" s="35" t="s">
        <v>1326</v>
      </c>
      <c r="AR3" s="39" t="s">
        <v>1420</v>
      </c>
      <c r="AT3" s="27" t="s">
        <v>1406</v>
      </c>
      <c r="AW3" s="35" t="s">
        <v>1409</v>
      </c>
      <c r="AY3" s="35" t="s">
        <v>1412</v>
      </c>
      <c r="BB3" s="35" t="s">
        <v>1424</v>
      </c>
      <c r="BD3" s="40" t="s">
        <v>1428</v>
      </c>
      <c r="BF3" s="36" t="s">
        <v>1442</v>
      </c>
      <c r="BH3" s="35" t="s">
        <v>1245</v>
      </c>
      <c r="BJ3" s="65">
        <f>+'Persona Natural'!X32</f>
        <v>0</v>
      </c>
      <c r="BL3" s="35" t="s">
        <v>1585</v>
      </c>
      <c r="BM3" s="70"/>
      <c r="BN3" s="2" t="s">
        <v>1790</v>
      </c>
      <c r="BP3" s="35" t="s">
        <v>1883</v>
      </c>
      <c r="BR3" s="97" t="s">
        <v>1836</v>
      </c>
      <c r="BV3" s="27" t="s">
        <v>1881</v>
      </c>
    </row>
    <row r="4" spans="1:74" ht="26.25" x14ac:dyDescent="0.4">
      <c r="A4" s="2" t="s">
        <v>102</v>
      </c>
      <c r="C4" s="36">
        <v>3</v>
      </c>
      <c r="E4" s="41" t="s">
        <v>176</v>
      </c>
      <c r="G4" s="35" t="s">
        <v>1931</v>
      </c>
      <c r="M4" s="27">
        <v>3</v>
      </c>
      <c r="N4" s="27" t="s">
        <v>1255</v>
      </c>
      <c r="T4" s="35" t="s">
        <v>1284</v>
      </c>
      <c r="V4" s="35" t="s">
        <v>1275</v>
      </c>
      <c r="X4" s="38" t="s">
        <v>1279</v>
      </c>
      <c r="AB4" s="2" t="s">
        <v>1571</v>
      </c>
      <c r="AG4" s="27" t="s">
        <v>1309</v>
      </c>
      <c r="AK4" s="35" t="s">
        <v>1322</v>
      </c>
      <c r="AM4" s="35">
        <v>3</v>
      </c>
      <c r="AO4" s="35" t="s">
        <v>1327</v>
      </c>
      <c r="AR4" s="39" t="s">
        <v>1822</v>
      </c>
      <c r="BD4" s="40" t="s">
        <v>1429</v>
      </c>
      <c r="BF4" s="36" t="s">
        <v>1443</v>
      </c>
      <c r="BJ4" s="66" t="s">
        <v>1529</v>
      </c>
      <c r="BL4" s="35" t="s">
        <v>1586</v>
      </c>
      <c r="BM4" s="70"/>
      <c r="BN4" s="2" t="s">
        <v>1793</v>
      </c>
      <c r="BP4" s="35" t="s">
        <v>1797</v>
      </c>
      <c r="BR4" s="97" t="s">
        <v>1826</v>
      </c>
    </row>
    <row r="5" spans="1:74" ht="26.25" x14ac:dyDescent="0.4">
      <c r="A5" s="2" t="s">
        <v>134</v>
      </c>
      <c r="C5" s="36">
        <v>4</v>
      </c>
      <c r="E5" s="41" t="s">
        <v>177</v>
      </c>
      <c r="G5" s="35" t="s">
        <v>1083</v>
      </c>
      <c r="I5" s="26" t="s">
        <v>1244</v>
      </c>
      <c r="J5" s="26" t="s">
        <v>1245</v>
      </c>
      <c r="M5" s="27">
        <v>4</v>
      </c>
      <c r="N5" s="27" t="s">
        <v>1256</v>
      </c>
      <c r="T5" s="35" t="s">
        <v>1285</v>
      </c>
      <c r="X5" s="38" t="s">
        <v>1278</v>
      </c>
      <c r="AB5" s="27" t="s">
        <v>1789</v>
      </c>
      <c r="AK5" s="35" t="s">
        <v>1323</v>
      </c>
      <c r="AM5" s="35">
        <v>4</v>
      </c>
      <c r="AO5" s="35" t="s">
        <v>1328</v>
      </c>
      <c r="AR5" s="39" t="s">
        <v>1823</v>
      </c>
      <c r="BD5" s="40" t="s">
        <v>1430</v>
      </c>
      <c r="BF5" s="36" t="s">
        <v>1444</v>
      </c>
      <c r="BL5" s="35" t="s">
        <v>1587</v>
      </c>
      <c r="BM5" s="70"/>
      <c r="BN5" s="2" t="s">
        <v>1794</v>
      </c>
      <c r="BP5" s="35" t="s">
        <v>1798</v>
      </c>
      <c r="BR5" s="97" t="s">
        <v>1827</v>
      </c>
    </row>
    <row r="6" spans="1:74" ht="26.25" x14ac:dyDescent="0.4">
      <c r="A6" s="2" t="s">
        <v>101</v>
      </c>
      <c r="C6" s="36">
        <v>5</v>
      </c>
      <c r="E6" s="35" t="s">
        <v>178</v>
      </c>
      <c r="G6" s="35" t="s">
        <v>1084</v>
      </c>
      <c r="I6" s="48"/>
      <c r="J6" s="35" t="s">
        <v>1244</v>
      </c>
      <c r="M6" s="27">
        <v>5</v>
      </c>
      <c r="N6" s="27" t="s">
        <v>1257</v>
      </c>
      <c r="T6" s="35" t="s">
        <v>1536</v>
      </c>
      <c r="X6" s="38" t="s">
        <v>1277</v>
      </c>
      <c r="AM6" s="35">
        <v>5</v>
      </c>
      <c r="AO6" s="35" t="s">
        <v>1329</v>
      </c>
      <c r="AR6" s="39" t="s">
        <v>1824</v>
      </c>
      <c r="AT6" s="28" t="s">
        <v>1885</v>
      </c>
      <c r="AU6" s="28" t="s">
        <v>1884</v>
      </c>
      <c r="AY6" s="26" t="s">
        <v>1411</v>
      </c>
      <c r="AZ6" s="43" t="s">
        <v>1412</v>
      </c>
      <c r="BD6" s="40" t="s">
        <v>1431</v>
      </c>
      <c r="BF6" s="36" t="s">
        <v>1441</v>
      </c>
      <c r="BL6" s="35" t="s">
        <v>1588</v>
      </c>
      <c r="BM6" s="70"/>
      <c r="BN6" s="2" t="s">
        <v>1791</v>
      </c>
      <c r="BP6" s="86" t="s">
        <v>1799</v>
      </c>
      <c r="BR6" s="97" t="s">
        <v>1828</v>
      </c>
    </row>
    <row r="7" spans="1:74" x14ac:dyDescent="0.25">
      <c r="A7" s="2" t="s">
        <v>98</v>
      </c>
      <c r="C7" s="36">
        <v>6</v>
      </c>
      <c r="E7" s="41" t="s">
        <v>179</v>
      </c>
      <c r="G7" s="35" t="s">
        <v>1085</v>
      </c>
      <c r="J7" s="35" t="s">
        <v>1245</v>
      </c>
      <c r="M7" s="27">
        <v>6</v>
      </c>
      <c r="N7" s="27" t="s">
        <v>1258</v>
      </c>
      <c r="S7" s="42"/>
      <c r="T7" s="35" t="s">
        <v>1537</v>
      </c>
      <c r="X7" s="38" t="s">
        <v>1276</v>
      </c>
      <c r="AB7" s="2" t="s">
        <v>1569</v>
      </c>
      <c r="AC7" s="2" t="s">
        <v>1570</v>
      </c>
      <c r="AD7" s="2" t="s">
        <v>1571</v>
      </c>
      <c r="AE7" s="43"/>
      <c r="AM7" s="35">
        <v>6</v>
      </c>
      <c r="AO7" s="35" t="s">
        <v>1330</v>
      </c>
      <c r="AR7" s="39" t="s">
        <v>1825</v>
      </c>
      <c r="AT7" s="39">
        <v>1</v>
      </c>
      <c r="AU7" s="39">
        <v>1</v>
      </c>
      <c r="AY7" s="73"/>
      <c r="AZ7" s="74" t="s">
        <v>1538</v>
      </c>
      <c r="BL7" s="35" t="s">
        <v>1589</v>
      </c>
      <c r="BM7" s="71"/>
      <c r="BN7"/>
      <c r="BR7" s="97" t="s">
        <v>1829</v>
      </c>
    </row>
    <row r="8" spans="1:74" x14ac:dyDescent="0.25">
      <c r="A8" s="2" t="s">
        <v>129</v>
      </c>
      <c r="C8" s="36">
        <v>7</v>
      </c>
      <c r="E8" s="41" t="s">
        <v>180</v>
      </c>
      <c r="G8" s="35" t="s">
        <v>1932</v>
      </c>
      <c r="M8" s="27">
        <v>7</v>
      </c>
      <c r="N8" s="27" t="s">
        <v>1259</v>
      </c>
      <c r="P8" s="67"/>
      <c r="T8" s="35" t="s">
        <v>1286</v>
      </c>
      <c r="X8" s="38" t="s">
        <v>151</v>
      </c>
      <c r="AB8" s="39" t="s">
        <v>1297</v>
      </c>
      <c r="AC8" s="39" t="s">
        <v>1297</v>
      </c>
      <c r="AD8" s="39"/>
      <c r="AE8" s="39"/>
      <c r="AM8" s="35">
        <v>7</v>
      </c>
      <c r="AO8" s="35" t="s">
        <v>1331</v>
      </c>
      <c r="AT8" s="39">
        <v>2</v>
      </c>
      <c r="AZ8" s="74" t="s">
        <v>1539</v>
      </c>
      <c r="BL8" s="35" t="s">
        <v>1590</v>
      </c>
      <c r="BM8" s="71"/>
      <c r="BN8"/>
      <c r="BR8" s="97" t="s">
        <v>1830</v>
      </c>
    </row>
    <row r="9" spans="1:74" x14ac:dyDescent="0.25">
      <c r="A9" s="2" t="s">
        <v>80</v>
      </c>
      <c r="C9" s="36">
        <v>8</v>
      </c>
      <c r="E9" s="41" t="s">
        <v>181</v>
      </c>
      <c r="G9" s="126" t="s">
        <v>1086</v>
      </c>
      <c r="M9" s="27">
        <v>8</v>
      </c>
      <c r="N9" s="27" t="s">
        <v>1260</v>
      </c>
      <c r="P9" s="2"/>
      <c r="T9" s="35" t="s">
        <v>1287</v>
      </c>
      <c r="AB9" s="39" t="s">
        <v>1298</v>
      </c>
      <c r="AC9" s="39" t="s">
        <v>1298</v>
      </c>
      <c r="AM9" s="35">
        <v>8</v>
      </c>
      <c r="AO9" s="35" t="s">
        <v>1332</v>
      </c>
      <c r="AT9" s="39">
        <v>3</v>
      </c>
      <c r="AZ9" s="74" t="s">
        <v>1413</v>
      </c>
      <c r="BL9" s="35" t="s">
        <v>1591</v>
      </c>
      <c r="BM9" s="71"/>
      <c r="BN9"/>
      <c r="BR9" s="97" t="s">
        <v>1831</v>
      </c>
    </row>
    <row r="10" spans="1:74" x14ac:dyDescent="0.25">
      <c r="A10" s="2" t="s">
        <v>128</v>
      </c>
      <c r="C10" s="36">
        <v>9</v>
      </c>
      <c r="E10" s="41" t="s">
        <v>1577</v>
      </c>
      <c r="G10" s="35" t="s">
        <v>1933</v>
      </c>
      <c r="M10" s="27">
        <v>9</v>
      </c>
      <c r="N10" s="27" t="s">
        <v>1261</v>
      </c>
      <c r="P10" s="2"/>
      <c r="AM10" s="35">
        <v>9</v>
      </c>
      <c r="AO10" s="35" t="s">
        <v>1333</v>
      </c>
      <c r="AT10" s="39">
        <v>4</v>
      </c>
      <c r="AZ10" s="74" t="s">
        <v>1540</v>
      </c>
      <c r="BL10" s="35" t="s">
        <v>1592</v>
      </c>
      <c r="BM10" s="71"/>
      <c r="BN10"/>
      <c r="BR10" s="97" t="s">
        <v>1832</v>
      </c>
    </row>
    <row r="11" spans="1:74" x14ac:dyDescent="0.25">
      <c r="A11" s="2" t="s">
        <v>103</v>
      </c>
      <c r="C11" s="36">
        <v>10</v>
      </c>
      <c r="E11" s="41" t="s">
        <v>182</v>
      </c>
      <c r="G11" s="35" t="s">
        <v>1087</v>
      </c>
      <c r="M11" s="27">
        <v>10</v>
      </c>
      <c r="N11" s="27" t="s">
        <v>1262</v>
      </c>
      <c r="P11" s="2"/>
      <c r="AM11" s="35">
        <v>10</v>
      </c>
      <c r="AO11" s="35" t="s">
        <v>1334</v>
      </c>
      <c r="AT11" s="39">
        <v>5</v>
      </c>
      <c r="AZ11" s="74" t="s">
        <v>1541</v>
      </c>
      <c r="BL11" s="35" t="s">
        <v>1593</v>
      </c>
      <c r="BM11" s="71"/>
      <c r="BN11"/>
      <c r="BR11" s="97" t="s">
        <v>1833</v>
      </c>
    </row>
    <row r="12" spans="1:74" ht="26.25" x14ac:dyDescent="0.4">
      <c r="A12" s="2" t="s">
        <v>88</v>
      </c>
      <c r="C12" s="36" t="s">
        <v>1435</v>
      </c>
      <c r="E12" s="35" t="s">
        <v>183</v>
      </c>
      <c r="G12" s="35" t="s">
        <v>1088</v>
      </c>
      <c r="M12" s="27">
        <v>11</v>
      </c>
      <c r="N12" s="27" t="s">
        <v>1263</v>
      </c>
      <c r="P12" s="2"/>
      <c r="Y12" s="39" t="s">
        <v>1311</v>
      </c>
      <c r="Z12" s="39" t="s">
        <v>1312</v>
      </c>
      <c r="AM12" s="35">
        <v>11</v>
      </c>
      <c r="AO12" s="35" t="s">
        <v>1335</v>
      </c>
      <c r="AT12" s="39">
        <v>6</v>
      </c>
      <c r="AZ12" s="75" t="s">
        <v>1542</v>
      </c>
      <c r="BL12" s="35" t="s">
        <v>1594</v>
      </c>
      <c r="BM12" s="70"/>
      <c r="BN12"/>
      <c r="BR12" s="97" t="s">
        <v>1835</v>
      </c>
    </row>
    <row r="13" spans="1:74" ht="26.25" x14ac:dyDescent="0.4">
      <c r="A13" s="2" t="s">
        <v>112</v>
      </c>
      <c r="C13" s="36" t="s">
        <v>1436</v>
      </c>
      <c r="E13" s="41" t="s">
        <v>184</v>
      </c>
      <c r="G13" s="35" t="s">
        <v>1089</v>
      </c>
      <c r="M13" s="27">
        <v>12</v>
      </c>
      <c r="N13" s="27" t="s">
        <v>1264</v>
      </c>
      <c r="P13" s="2"/>
      <c r="Y13" s="27" t="s">
        <v>1314</v>
      </c>
      <c r="Z13" s="27" t="s">
        <v>1316</v>
      </c>
      <c r="AM13" s="35">
        <v>12</v>
      </c>
      <c r="AO13" s="35" t="s">
        <v>1336</v>
      </c>
      <c r="AT13" s="39">
        <v>7</v>
      </c>
      <c r="AZ13" s="75" t="s">
        <v>1543</v>
      </c>
      <c r="BD13" s="27" t="s">
        <v>1448</v>
      </c>
      <c r="BL13" s="35" t="s">
        <v>1595</v>
      </c>
      <c r="BM13" s="70"/>
      <c r="BN13"/>
    </row>
    <row r="14" spans="1:74" ht="26.25" x14ac:dyDescent="0.4">
      <c r="A14" s="2" t="s">
        <v>113</v>
      </c>
      <c r="C14" s="36" t="s">
        <v>1437</v>
      </c>
      <c r="E14" s="41" t="s">
        <v>185</v>
      </c>
      <c r="G14" s="35" t="s">
        <v>1090</v>
      </c>
      <c r="M14" s="27">
        <v>13</v>
      </c>
      <c r="P14" s="2"/>
      <c r="T14" s="26" t="s">
        <v>1523</v>
      </c>
      <c r="Y14" s="27" t="s">
        <v>1313</v>
      </c>
      <c r="Z14" s="27" t="s">
        <v>1317</v>
      </c>
      <c r="AO14" s="35" t="s">
        <v>1337</v>
      </c>
      <c r="AT14" s="39">
        <v>8</v>
      </c>
      <c r="AZ14" s="75" t="s">
        <v>1544</v>
      </c>
      <c r="BL14" s="35" t="s">
        <v>1596</v>
      </c>
      <c r="BM14" s="70"/>
      <c r="BN14"/>
      <c r="BP14" s="35" t="s">
        <v>1415</v>
      </c>
      <c r="BQ14" s="35" t="s">
        <v>1409</v>
      </c>
      <c r="BS14" s="35" t="s">
        <v>1838</v>
      </c>
      <c r="BT14" s="35" t="s">
        <v>1839</v>
      </c>
    </row>
    <row r="15" spans="1:74" x14ac:dyDescent="0.25">
      <c r="A15" s="2" t="s">
        <v>141</v>
      </c>
      <c r="E15" s="41" t="s">
        <v>186</v>
      </c>
      <c r="G15" s="35" t="s">
        <v>1091</v>
      </c>
      <c r="M15" s="27">
        <v>14</v>
      </c>
      <c r="T15" s="35" t="s">
        <v>1897</v>
      </c>
      <c r="Y15" s="27" t="s">
        <v>1315</v>
      </c>
      <c r="Z15" s="27" t="s">
        <v>1318</v>
      </c>
      <c r="AO15" s="35" t="s">
        <v>1338</v>
      </c>
      <c r="AT15" s="39">
        <v>9</v>
      </c>
      <c r="AZ15" s="75" t="s">
        <v>1545</v>
      </c>
      <c r="BL15" s="35" t="s">
        <v>1597</v>
      </c>
      <c r="BM15" s="70"/>
      <c r="BN15"/>
      <c r="BP15" s="96" t="s">
        <v>1834</v>
      </c>
      <c r="BQ15" s="97" t="s">
        <v>1836</v>
      </c>
      <c r="BS15" s="2" t="s">
        <v>1844</v>
      </c>
      <c r="BT15" s="35" t="s">
        <v>1840</v>
      </c>
    </row>
    <row r="16" spans="1:74" x14ac:dyDescent="0.25">
      <c r="A16" s="2" t="s">
        <v>118</v>
      </c>
      <c r="E16" s="41" t="s">
        <v>187</v>
      </c>
      <c r="G16" s="35" t="s">
        <v>1934</v>
      </c>
      <c r="M16" s="27">
        <v>15</v>
      </c>
      <c r="T16" s="35" t="s">
        <v>1898</v>
      </c>
      <c r="AO16" s="35" t="s">
        <v>1339</v>
      </c>
      <c r="AT16" s="39">
        <v>10</v>
      </c>
      <c r="AZ16" s="75" t="s">
        <v>1546</v>
      </c>
      <c r="BL16" s="35" t="s">
        <v>1598</v>
      </c>
      <c r="BM16" s="70"/>
      <c r="BN16"/>
      <c r="BP16" s="97" t="s">
        <v>1836</v>
      </c>
      <c r="BQ16" s="97" t="s">
        <v>1826</v>
      </c>
      <c r="BS16" s="2" t="s">
        <v>1790</v>
      </c>
      <c r="BT16" s="35" t="s">
        <v>1841</v>
      </c>
    </row>
    <row r="17" spans="1:77" x14ac:dyDescent="0.25">
      <c r="A17" s="2" t="s">
        <v>99</v>
      </c>
      <c r="E17" s="35" t="s">
        <v>188</v>
      </c>
      <c r="G17" s="35" t="s">
        <v>1081</v>
      </c>
      <c r="M17" s="27">
        <v>16</v>
      </c>
      <c r="T17" s="35" t="s">
        <v>1899</v>
      </c>
      <c r="AO17" s="35" t="s">
        <v>1340</v>
      </c>
      <c r="AT17" s="39"/>
      <c r="AZ17" s="74" t="s">
        <v>1547</v>
      </c>
      <c r="BL17" s="35" t="s">
        <v>1599</v>
      </c>
      <c r="BM17" s="70"/>
      <c r="BN17"/>
      <c r="BP17" s="96" t="s">
        <v>1837</v>
      </c>
      <c r="BQ17" s="97" t="s">
        <v>1827</v>
      </c>
      <c r="BS17" s="2" t="s">
        <v>1793</v>
      </c>
      <c r="BT17" s="35" t="s">
        <v>1842</v>
      </c>
    </row>
    <row r="18" spans="1:77" x14ac:dyDescent="0.25">
      <c r="A18" s="2" t="s">
        <v>114</v>
      </c>
      <c r="E18" s="41" t="s">
        <v>189</v>
      </c>
      <c r="G18" s="35" t="s">
        <v>1092</v>
      </c>
      <c r="M18" s="27">
        <v>17</v>
      </c>
      <c r="T18" s="35" t="s">
        <v>1900</v>
      </c>
      <c r="AO18" s="35" t="s">
        <v>1341</v>
      </c>
      <c r="AT18" s="39"/>
      <c r="AZ18" s="74" t="s">
        <v>1548</v>
      </c>
      <c r="BL18" s="35" t="s">
        <v>1600</v>
      </c>
      <c r="BM18" s="70"/>
      <c r="BN18"/>
      <c r="BQ18" s="97" t="s">
        <v>1828</v>
      </c>
      <c r="BS18" s="2" t="s">
        <v>1845</v>
      </c>
      <c r="BT18" s="35" t="s">
        <v>1791</v>
      </c>
    </row>
    <row r="19" spans="1:77" x14ac:dyDescent="0.25">
      <c r="A19" s="2" t="s">
        <v>142</v>
      </c>
      <c r="E19" s="35" t="s">
        <v>190</v>
      </c>
      <c r="G19" s="35" t="s">
        <v>1093</v>
      </c>
      <c r="M19" s="27">
        <v>18</v>
      </c>
      <c r="AO19" s="35" t="s">
        <v>1342</v>
      </c>
      <c r="AZ19" s="74" t="s">
        <v>1549</v>
      </c>
      <c r="BL19" s="35" t="s">
        <v>1601</v>
      </c>
      <c r="BM19" s="70"/>
      <c r="BN19"/>
      <c r="BQ19" s="97" t="s">
        <v>1829</v>
      </c>
      <c r="BS19" s="2" t="s">
        <v>1843</v>
      </c>
    </row>
    <row r="20" spans="1:77" x14ac:dyDescent="0.25">
      <c r="A20" s="2" t="s">
        <v>143</v>
      </c>
      <c r="E20" s="35" t="s">
        <v>191</v>
      </c>
      <c r="G20" s="35" t="s">
        <v>1094</v>
      </c>
      <c r="M20" s="27">
        <v>19</v>
      </c>
      <c r="AO20" s="35" t="s">
        <v>1343</v>
      </c>
      <c r="AZ20" s="74" t="s">
        <v>1550</v>
      </c>
      <c r="BL20" s="35" t="s">
        <v>1602</v>
      </c>
      <c r="BM20" s="70"/>
      <c r="BN20"/>
      <c r="BQ20" s="97" t="s">
        <v>1830</v>
      </c>
    </row>
    <row r="21" spans="1:77" x14ac:dyDescent="0.25">
      <c r="A21" s="2" t="s">
        <v>84</v>
      </c>
      <c r="E21" s="35" t="s">
        <v>192</v>
      </c>
      <c r="G21" s="35" t="s">
        <v>1095</v>
      </c>
      <c r="M21" s="27">
        <v>20</v>
      </c>
      <c r="AO21" s="35" t="s">
        <v>1344</v>
      </c>
      <c r="AZ21" s="74" t="s">
        <v>1551</v>
      </c>
      <c r="BL21" s="35" t="s">
        <v>1603</v>
      </c>
      <c r="BM21" s="70"/>
      <c r="BN21"/>
      <c r="BQ21" s="97" t="s">
        <v>1831</v>
      </c>
      <c r="BV21" s="26" t="s">
        <v>1840</v>
      </c>
      <c r="BW21" s="33"/>
      <c r="BX21" s="26" t="s">
        <v>1841</v>
      </c>
      <c r="BY21" s="26" t="s">
        <v>1842</v>
      </c>
    </row>
    <row r="22" spans="1:77" x14ac:dyDescent="0.25">
      <c r="A22" s="2" t="s">
        <v>81</v>
      </c>
      <c r="E22" s="35" t="s">
        <v>193</v>
      </c>
      <c r="G22" s="35" t="s">
        <v>1935</v>
      </c>
      <c r="M22" s="27">
        <v>21</v>
      </c>
      <c r="AO22" s="35" t="s">
        <v>1345</v>
      </c>
      <c r="AZ22" s="74" t="s">
        <v>1552</v>
      </c>
      <c r="BL22" s="35" t="s">
        <v>1604</v>
      </c>
      <c r="BM22" s="70"/>
      <c r="BN22"/>
      <c r="BQ22" s="97" t="s">
        <v>1832</v>
      </c>
      <c r="BV22" s="35" t="s">
        <v>1846</v>
      </c>
      <c r="BX22" s="35" t="s">
        <v>1851</v>
      </c>
      <c r="BY22" s="35" t="s">
        <v>1858</v>
      </c>
    </row>
    <row r="23" spans="1:77" x14ac:dyDescent="0.25">
      <c r="A23" s="2" t="s">
        <v>83</v>
      </c>
      <c r="E23" s="35" t="s">
        <v>194</v>
      </c>
      <c r="G23" s="35" t="s">
        <v>1936</v>
      </c>
      <c r="M23" s="27">
        <v>22</v>
      </c>
      <c r="AO23" s="35" t="s">
        <v>1346</v>
      </c>
      <c r="AZ23" s="74" t="s">
        <v>1553</v>
      </c>
      <c r="BL23" s="35" t="s">
        <v>1605</v>
      </c>
      <c r="BM23" s="70"/>
      <c r="BN23"/>
      <c r="BQ23" s="97" t="s">
        <v>1833</v>
      </c>
      <c r="BV23" s="35" t="s">
        <v>1847</v>
      </c>
      <c r="BX23" s="35" t="s">
        <v>1852</v>
      </c>
      <c r="BY23" s="35" t="s">
        <v>1859</v>
      </c>
    </row>
    <row r="24" spans="1:77" x14ac:dyDescent="0.25">
      <c r="A24" s="2" t="s">
        <v>82</v>
      </c>
      <c r="E24" s="35" t="s">
        <v>195</v>
      </c>
      <c r="G24" s="35" t="s">
        <v>1937</v>
      </c>
      <c r="M24" s="27">
        <v>23</v>
      </c>
      <c r="AO24" s="35" t="s">
        <v>1347</v>
      </c>
      <c r="AZ24" s="74" t="s">
        <v>1554</v>
      </c>
      <c r="BL24" s="35" t="s">
        <v>1606</v>
      </c>
      <c r="BM24" s="70"/>
      <c r="BN24"/>
      <c r="BQ24" s="97" t="s">
        <v>1835</v>
      </c>
      <c r="BT24" s="2" t="s">
        <v>1843</v>
      </c>
      <c r="BV24" s="35" t="s">
        <v>1848</v>
      </c>
      <c r="BX24" s="35" t="s">
        <v>1853</v>
      </c>
      <c r="BY24" s="35" t="s">
        <v>1860</v>
      </c>
    </row>
    <row r="25" spans="1:77" x14ac:dyDescent="0.25">
      <c r="A25" s="2" t="s">
        <v>86</v>
      </c>
      <c r="E25" s="35" t="s">
        <v>196</v>
      </c>
      <c r="G25" s="35" t="s">
        <v>1096</v>
      </c>
      <c r="M25" s="27">
        <v>24</v>
      </c>
      <c r="AO25" s="35" t="s">
        <v>1348</v>
      </c>
      <c r="AZ25" s="74" t="s">
        <v>1555</v>
      </c>
      <c r="BL25" s="35" t="s">
        <v>1607</v>
      </c>
      <c r="BM25" s="70"/>
      <c r="BN25"/>
      <c r="BT25" s="35" t="s">
        <v>1840</v>
      </c>
      <c r="BV25" s="35" t="s">
        <v>1849</v>
      </c>
      <c r="BX25" s="35" t="s">
        <v>1854</v>
      </c>
      <c r="BY25" s="35" t="s">
        <v>1861</v>
      </c>
    </row>
    <row r="26" spans="1:77" x14ac:dyDescent="0.25">
      <c r="A26" s="2" t="s">
        <v>85</v>
      </c>
      <c r="E26" s="35" t="s">
        <v>197</v>
      </c>
      <c r="G26" s="35" t="s">
        <v>1098</v>
      </c>
      <c r="M26" s="27">
        <v>25</v>
      </c>
      <c r="AO26" s="35" t="s">
        <v>1349</v>
      </c>
      <c r="AZ26" s="74" t="s">
        <v>1556</v>
      </c>
      <c r="BL26" s="35" t="s">
        <v>1608</v>
      </c>
      <c r="BM26" s="70"/>
      <c r="BN26"/>
      <c r="BT26" s="35" t="s">
        <v>1841</v>
      </c>
      <c r="BV26" s="35" t="s">
        <v>1850</v>
      </c>
      <c r="BX26" s="35" t="s">
        <v>1855</v>
      </c>
      <c r="BY26" s="35" t="s">
        <v>1862</v>
      </c>
    </row>
    <row r="27" spans="1:77" x14ac:dyDescent="0.25">
      <c r="A27" s="2" t="s">
        <v>60</v>
      </c>
      <c r="E27" s="35" t="s">
        <v>198</v>
      </c>
      <c r="G27" s="35" t="s">
        <v>1938</v>
      </c>
      <c r="M27" s="27">
        <v>26</v>
      </c>
      <c r="AO27" s="35" t="s">
        <v>1788</v>
      </c>
      <c r="AZ27" s="74" t="s">
        <v>1557</v>
      </c>
      <c r="BL27" s="35" t="s">
        <v>1609</v>
      </c>
      <c r="BM27" s="70"/>
      <c r="BN27"/>
      <c r="BT27" s="35" t="s">
        <v>1842</v>
      </c>
      <c r="BX27" s="35" t="s">
        <v>1856</v>
      </c>
    </row>
    <row r="28" spans="1:77" x14ac:dyDescent="0.25">
      <c r="A28" s="2" t="s">
        <v>116</v>
      </c>
      <c r="E28" s="35" t="s">
        <v>199</v>
      </c>
      <c r="G28" s="35" t="s">
        <v>1099</v>
      </c>
      <c r="M28" s="27">
        <v>27</v>
      </c>
      <c r="AO28" s="35" t="s">
        <v>1350</v>
      </c>
      <c r="AZ28" s="74" t="s">
        <v>1558</v>
      </c>
      <c r="BL28" s="35" t="s">
        <v>1610</v>
      </c>
      <c r="BM28" s="70"/>
      <c r="BN28"/>
      <c r="BX28" s="35" t="s">
        <v>1857</v>
      </c>
    </row>
    <row r="29" spans="1:77" x14ac:dyDescent="0.25">
      <c r="A29" s="2" t="s">
        <v>95</v>
      </c>
      <c r="E29" s="35" t="s">
        <v>200</v>
      </c>
      <c r="G29" s="35" t="s">
        <v>1100</v>
      </c>
      <c r="M29" s="27">
        <v>28</v>
      </c>
      <c r="AO29" s="35" t="s">
        <v>1351</v>
      </c>
      <c r="AZ29" s="74" t="s">
        <v>1559</v>
      </c>
      <c r="BL29" s="35" t="s">
        <v>1611</v>
      </c>
      <c r="BM29" s="72"/>
      <c r="BN29"/>
    </row>
    <row r="30" spans="1:77" x14ac:dyDescent="0.25">
      <c r="A30" s="2" t="s">
        <v>117</v>
      </c>
      <c r="E30" s="35" t="s">
        <v>201</v>
      </c>
      <c r="G30" s="35" t="s">
        <v>1939</v>
      </c>
      <c r="M30" s="27">
        <v>29</v>
      </c>
      <c r="AO30" s="35" t="s">
        <v>1352</v>
      </c>
      <c r="AZ30" s="74" t="s">
        <v>1560</v>
      </c>
      <c r="BL30" s="35" t="s">
        <v>1612</v>
      </c>
      <c r="BM30" s="72"/>
      <c r="BN30"/>
    </row>
    <row r="31" spans="1:77" x14ac:dyDescent="0.25">
      <c r="A31" s="2" t="s">
        <v>115</v>
      </c>
      <c r="E31" s="35" t="s">
        <v>419</v>
      </c>
      <c r="G31" s="35" t="s">
        <v>1101</v>
      </c>
      <c r="M31" s="27">
        <v>30</v>
      </c>
      <c r="AO31" s="35" t="s">
        <v>1353</v>
      </c>
      <c r="AZ31" s="74" t="s">
        <v>1561</v>
      </c>
      <c r="BL31" s="35" t="s">
        <v>1613</v>
      </c>
      <c r="BM31" s="70"/>
      <c r="BN31"/>
      <c r="BS31" s="26" t="s">
        <v>1864</v>
      </c>
      <c r="BT31" s="26" t="s">
        <v>1865</v>
      </c>
    </row>
    <row r="32" spans="1:77" x14ac:dyDescent="0.25">
      <c r="A32" s="2" t="s">
        <v>119</v>
      </c>
      <c r="E32" s="35" t="s">
        <v>202</v>
      </c>
      <c r="G32" s="35" t="s">
        <v>1940</v>
      </c>
      <c r="M32" s="27">
        <v>31</v>
      </c>
      <c r="AO32" s="35" t="s">
        <v>1354</v>
      </c>
      <c r="AZ32" s="74" t="s">
        <v>1562</v>
      </c>
      <c r="BL32" s="35" t="s">
        <v>1614</v>
      </c>
      <c r="BM32" s="70"/>
      <c r="BN32"/>
      <c r="BS32" s="35" t="s">
        <v>1792</v>
      </c>
      <c r="BT32" s="35" t="s">
        <v>1868</v>
      </c>
    </row>
    <row r="33" spans="1:72" x14ac:dyDescent="0.25">
      <c r="A33" s="2" t="s">
        <v>111</v>
      </c>
      <c r="E33" s="35" t="s">
        <v>203</v>
      </c>
      <c r="G33" s="35" t="s">
        <v>1102</v>
      </c>
      <c r="AO33" s="35" t="s">
        <v>1355</v>
      </c>
      <c r="AZ33" s="74" t="s">
        <v>1563</v>
      </c>
      <c r="BL33" s="35" t="s">
        <v>1615</v>
      </c>
      <c r="BM33" s="70"/>
      <c r="BN33"/>
      <c r="BS33" s="35" t="s">
        <v>1866</v>
      </c>
      <c r="BT33" s="35" t="s">
        <v>1869</v>
      </c>
    </row>
    <row r="34" spans="1:72" x14ac:dyDescent="0.25">
      <c r="A34" s="2" t="s">
        <v>127</v>
      </c>
      <c r="E34" s="35" t="s">
        <v>204</v>
      </c>
      <c r="G34" s="35" t="s">
        <v>1103</v>
      </c>
      <c r="AO34" s="35" t="s">
        <v>1356</v>
      </c>
      <c r="AZ34" s="76" t="s">
        <v>1564</v>
      </c>
      <c r="BL34" s="35" t="s">
        <v>1616</v>
      </c>
      <c r="BN34"/>
      <c r="BS34" s="35" t="s">
        <v>1867</v>
      </c>
    </row>
    <row r="35" spans="1:72" x14ac:dyDescent="0.25">
      <c r="A35" s="2" t="s">
        <v>89</v>
      </c>
      <c r="E35" s="35" t="s">
        <v>205</v>
      </c>
      <c r="G35" s="35" t="s">
        <v>1104</v>
      </c>
      <c r="AO35" s="35" t="s">
        <v>1357</v>
      </c>
      <c r="AZ35" s="76" t="s">
        <v>1565</v>
      </c>
      <c r="BL35" s="35" t="s">
        <v>1617</v>
      </c>
      <c r="BN35"/>
    </row>
    <row r="36" spans="1:72" x14ac:dyDescent="0.25">
      <c r="A36" s="2" t="s">
        <v>64</v>
      </c>
      <c r="E36" s="35" t="s">
        <v>206</v>
      </c>
      <c r="G36" s="35" t="s">
        <v>1941</v>
      </c>
      <c r="AO36" s="35" t="s">
        <v>1358</v>
      </c>
      <c r="AZ36" s="74" t="s">
        <v>1566</v>
      </c>
      <c r="BL36" s="35" t="s">
        <v>1618</v>
      </c>
      <c r="BN36"/>
    </row>
    <row r="37" spans="1:72" x14ac:dyDescent="0.25">
      <c r="A37" s="2" t="s">
        <v>94</v>
      </c>
      <c r="E37" s="35" t="s">
        <v>207</v>
      </c>
      <c r="G37" s="35" t="s">
        <v>1105</v>
      </c>
      <c r="AO37" s="35" t="s">
        <v>1359</v>
      </c>
      <c r="AZ37" s="74" t="s">
        <v>1567</v>
      </c>
      <c r="BL37" s="35" t="s">
        <v>1619</v>
      </c>
      <c r="BN37"/>
    </row>
    <row r="38" spans="1:72" x14ac:dyDescent="0.25">
      <c r="A38" s="2" t="s">
        <v>140</v>
      </c>
      <c r="E38" s="35" t="s">
        <v>208</v>
      </c>
      <c r="G38" s="35" t="s">
        <v>1106</v>
      </c>
      <c r="AO38" s="35" t="s">
        <v>1360</v>
      </c>
      <c r="AZ38" s="74" t="s">
        <v>1568</v>
      </c>
      <c r="BL38" s="35" t="s">
        <v>1620</v>
      </c>
      <c r="BN38"/>
    </row>
    <row r="39" spans="1:72" x14ac:dyDescent="0.25">
      <c r="A39" s="2" t="s">
        <v>96</v>
      </c>
      <c r="E39" s="35" t="s">
        <v>209</v>
      </c>
      <c r="G39" s="35" t="s">
        <v>1942</v>
      </c>
      <c r="AO39" s="35" t="s">
        <v>1361</v>
      </c>
      <c r="BL39" s="35" t="s">
        <v>1621</v>
      </c>
      <c r="BN39"/>
    </row>
    <row r="40" spans="1:72" x14ac:dyDescent="0.25">
      <c r="A40" s="2" t="s">
        <v>97</v>
      </c>
      <c r="E40" s="35" t="s">
        <v>210</v>
      </c>
      <c r="G40" s="35" t="s">
        <v>1107</v>
      </c>
      <c r="AO40" s="35" t="s">
        <v>1362</v>
      </c>
      <c r="BL40" s="35" t="s">
        <v>1622</v>
      </c>
      <c r="BN40"/>
    </row>
    <row r="41" spans="1:72" x14ac:dyDescent="0.25">
      <c r="A41" s="2" t="s">
        <v>144</v>
      </c>
      <c r="E41" s="35" t="s">
        <v>211</v>
      </c>
      <c r="G41" s="35" t="s">
        <v>1108</v>
      </c>
      <c r="AO41" s="35" t="s">
        <v>1363</v>
      </c>
      <c r="BL41" s="35" t="s">
        <v>1623</v>
      </c>
      <c r="BN41"/>
    </row>
    <row r="42" spans="1:72" x14ac:dyDescent="0.25">
      <c r="A42" s="2" t="s">
        <v>124</v>
      </c>
      <c r="E42" s="35" t="s">
        <v>212</v>
      </c>
      <c r="G42" s="35" t="s">
        <v>1943</v>
      </c>
      <c r="AO42" s="35" t="s">
        <v>1364</v>
      </c>
      <c r="BL42" s="35" t="s">
        <v>1624</v>
      </c>
      <c r="BN42"/>
    </row>
    <row r="43" spans="1:72" x14ac:dyDescent="0.25">
      <c r="A43" s="2" t="s">
        <v>110</v>
      </c>
      <c r="E43" s="35" t="s">
        <v>213</v>
      </c>
      <c r="G43" s="35" t="s">
        <v>1109</v>
      </c>
      <c r="AO43" s="35" t="s">
        <v>1365</v>
      </c>
      <c r="BL43" s="35" t="s">
        <v>1625</v>
      </c>
      <c r="BN43"/>
    </row>
    <row r="44" spans="1:72" x14ac:dyDescent="0.25">
      <c r="A44" s="2" t="s">
        <v>7</v>
      </c>
      <c r="E44" s="35" t="s">
        <v>214</v>
      </c>
      <c r="G44" s="35" t="s">
        <v>1110</v>
      </c>
      <c r="AO44" s="35" t="s">
        <v>1366</v>
      </c>
      <c r="BL44" s="35" t="s">
        <v>1626</v>
      </c>
      <c r="BN44"/>
    </row>
    <row r="45" spans="1:72" x14ac:dyDescent="0.25">
      <c r="A45" s="2" t="s">
        <v>121</v>
      </c>
      <c r="E45" s="35" t="s">
        <v>215</v>
      </c>
      <c r="G45" s="35" t="s">
        <v>1944</v>
      </c>
      <c r="AO45" s="35" t="s">
        <v>1367</v>
      </c>
      <c r="BL45" s="35" t="s">
        <v>1627</v>
      </c>
      <c r="BN45"/>
    </row>
    <row r="46" spans="1:72" x14ac:dyDescent="0.25">
      <c r="A46" s="2" t="s">
        <v>1</v>
      </c>
      <c r="E46" s="35" t="s">
        <v>216</v>
      </c>
      <c r="G46" s="35" t="s">
        <v>1945</v>
      </c>
      <c r="AO46" s="35" t="s">
        <v>1368</v>
      </c>
      <c r="BL46" s="35" t="s">
        <v>1628</v>
      </c>
      <c r="BN46"/>
    </row>
    <row r="47" spans="1:72" x14ac:dyDescent="0.25">
      <c r="A47" s="2" t="s">
        <v>57</v>
      </c>
      <c r="E47" s="35" t="s">
        <v>217</v>
      </c>
      <c r="G47" s="35" t="s">
        <v>1946</v>
      </c>
      <c r="AO47" s="35" t="s">
        <v>1369</v>
      </c>
      <c r="BL47" s="35" t="s">
        <v>1629</v>
      </c>
      <c r="BN47"/>
    </row>
    <row r="48" spans="1:72" x14ac:dyDescent="0.25">
      <c r="A48" s="2" t="s">
        <v>131</v>
      </c>
      <c r="E48" s="35" t="s">
        <v>218</v>
      </c>
      <c r="G48" s="35" t="s">
        <v>1111</v>
      </c>
      <c r="AO48" s="35" t="s">
        <v>1370</v>
      </c>
      <c r="BL48" s="35" t="s">
        <v>1630</v>
      </c>
      <c r="BN48"/>
    </row>
    <row r="49" spans="1:66" x14ac:dyDescent="0.25">
      <c r="A49" s="2" t="s">
        <v>78</v>
      </c>
      <c r="E49" s="35" t="s">
        <v>219</v>
      </c>
      <c r="G49" s="35" t="s">
        <v>1112</v>
      </c>
      <c r="AO49" s="35" t="s">
        <v>1371</v>
      </c>
      <c r="BL49" s="35" t="s">
        <v>1631</v>
      </c>
      <c r="BN49"/>
    </row>
    <row r="50" spans="1:66" x14ac:dyDescent="0.25">
      <c r="A50" s="2" t="s">
        <v>130</v>
      </c>
      <c r="E50" s="35" t="s">
        <v>220</v>
      </c>
      <c r="G50" s="35" t="s">
        <v>1947</v>
      </c>
      <c r="AO50" s="35" t="s">
        <v>1372</v>
      </c>
      <c r="BL50" s="35" t="s">
        <v>1360</v>
      </c>
      <c r="BN50"/>
    </row>
    <row r="51" spans="1:66" x14ac:dyDescent="0.25">
      <c r="A51" s="2" t="s">
        <v>75</v>
      </c>
      <c r="E51" s="35" t="s">
        <v>221</v>
      </c>
      <c r="G51" s="35" t="s">
        <v>1113</v>
      </c>
      <c r="AO51" s="35" t="s">
        <v>1373</v>
      </c>
      <c r="BL51" s="35" t="s">
        <v>1632</v>
      </c>
      <c r="BN51"/>
    </row>
    <row r="52" spans="1:66" x14ac:dyDescent="0.25">
      <c r="A52" s="2" t="s">
        <v>79</v>
      </c>
      <c r="E52" s="35" t="s">
        <v>222</v>
      </c>
      <c r="G52" s="35" t="s">
        <v>1948</v>
      </c>
      <c r="AO52" s="35" t="s">
        <v>1374</v>
      </c>
      <c r="BL52" s="35" t="s">
        <v>1633</v>
      </c>
      <c r="BN52"/>
    </row>
    <row r="53" spans="1:66" x14ac:dyDescent="0.25">
      <c r="A53" s="2" t="s">
        <v>56</v>
      </c>
      <c r="E53" s="35" t="s">
        <v>223</v>
      </c>
      <c r="G53" s="35" t="s">
        <v>1114</v>
      </c>
      <c r="AO53" s="35" t="s">
        <v>1375</v>
      </c>
      <c r="BL53" s="35" t="s">
        <v>1634</v>
      </c>
      <c r="BN53"/>
    </row>
    <row r="54" spans="1:66" x14ac:dyDescent="0.25">
      <c r="A54" s="2" t="s">
        <v>3</v>
      </c>
      <c r="E54" s="35" t="s">
        <v>224</v>
      </c>
      <c r="G54" s="35" t="s">
        <v>1115</v>
      </c>
      <c r="AO54" s="35" t="s">
        <v>1376</v>
      </c>
      <c r="BL54" s="35" t="s">
        <v>1635</v>
      </c>
      <c r="BN54"/>
    </row>
    <row r="55" spans="1:66" x14ac:dyDescent="0.25">
      <c r="A55" s="2" t="s">
        <v>65</v>
      </c>
      <c r="E55" s="35" t="s">
        <v>225</v>
      </c>
      <c r="G55" s="35" t="s">
        <v>1116</v>
      </c>
      <c r="AO55" s="35" t="s">
        <v>1377</v>
      </c>
      <c r="BL55" s="35" t="s">
        <v>1636</v>
      </c>
      <c r="BN55"/>
    </row>
    <row r="56" spans="1:66" x14ac:dyDescent="0.25">
      <c r="A56" s="2" t="s">
        <v>66</v>
      </c>
      <c r="E56" s="35" t="s">
        <v>226</v>
      </c>
      <c r="G56" s="35" t="s">
        <v>1240</v>
      </c>
      <c r="AO56" s="35" t="s">
        <v>1378</v>
      </c>
      <c r="BL56" s="35" t="s">
        <v>1637</v>
      </c>
      <c r="BN56"/>
    </row>
    <row r="57" spans="1:66" x14ac:dyDescent="0.25">
      <c r="A57" s="2" t="s">
        <v>68</v>
      </c>
      <c r="E57" s="35" t="s">
        <v>227</v>
      </c>
      <c r="G57" s="35" t="s">
        <v>1949</v>
      </c>
      <c r="AO57" s="35" t="s">
        <v>1379</v>
      </c>
      <c r="BL57" s="35" t="s">
        <v>1366</v>
      </c>
      <c r="BN57"/>
    </row>
    <row r="58" spans="1:66" x14ac:dyDescent="0.25">
      <c r="A58" s="2" t="s">
        <v>67</v>
      </c>
      <c r="E58" s="35" t="s">
        <v>228</v>
      </c>
      <c r="G58" s="35" t="s">
        <v>1117</v>
      </c>
      <c r="AO58" s="35" t="s">
        <v>1380</v>
      </c>
      <c r="BL58" s="35" t="s">
        <v>1638</v>
      </c>
      <c r="BN58"/>
    </row>
    <row r="59" spans="1:66" x14ac:dyDescent="0.25">
      <c r="A59" s="2" t="s">
        <v>62</v>
      </c>
      <c r="E59" s="35" t="s">
        <v>229</v>
      </c>
      <c r="G59" s="35" t="s">
        <v>1118</v>
      </c>
      <c r="AO59" s="35" t="s">
        <v>1381</v>
      </c>
      <c r="BL59" s="35" t="s">
        <v>1368</v>
      </c>
      <c r="BN59"/>
    </row>
    <row r="60" spans="1:66" x14ac:dyDescent="0.25">
      <c r="A60" s="2" t="s">
        <v>73</v>
      </c>
      <c r="E60" s="35" t="s">
        <v>230</v>
      </c>
      <c r="G60" s="35" t="s">
        <v>1119</v>
      </c>
      <c r="AO60" s="35" t="s">
        <v>1382</v>
      </c>
      <c r="BL60" s="35" t="s">
        <v>1639</v>
      </c>
      <c r="BN60"/>
    </row>
    <row r="61" spans="1:66" x14ac:dyDescent="0.25">
      <c r="A61" s="2" t="s">
        <v>72</v>
      </c>
      <c r="E61" s="35" t="s">
        <v>231</v>
      </c>
      <c r="G61" s="35" t="s">
        <v>1120</v>
      </c>
      <c r="AO61" s="35" t="s">
        <v>1383</v>
      </c>
      <c r="BL61" s="35" t="s">
        <v>1640</v>
      </c>
      <c r="BN61"/>
    </row>
    <row r="62" spans="1:66" x14ac:dyDescent="0.25">
      <c r="A62" s="2" t="s">
        <v>18</v>
      </c>
      <c r="E62" s="35" t="s">
        <v>232</v>
      </c>
      <c r="G62" s="35" t="s">
        <v>1950</v>
      </c>
      <c r="AO62" s="35" t="s">
        <v>1384</v>
      </c>
      <c r="BL62" s="35" t="s">
        <v>1641</v>
      </c>
      <c r="BN62"/>
    </row>
    <row r="63" spans="1:66" x14ac:dyDescent="0.25">
      <c r="A63" s="2" t="s">
        <v>17</v>
      </c>
      <c r="E63" s="35" t="s">
        <v>233</v>
      </c>
      <c r="G63" s="35" t="s">
        <v>1121</v>
      </c>
      <c r="AO63" s="35" t="s">
        <v>1385</v>
      </c>
      <c r="BL63" s="35" t="s">
        <v>1642</v>
      </c>
      <c r="BN63"/>
    </row>
    <row r="64" spans="1:66" x14ac:dyDescent="0.25">
      <c r="A64" s="2" t="s">
        <v>19</v>
      </c>
      <c r="E64" s="35" t="s">
        <v>234</v>
      </c>
      <c r="G64" s="35" t="s">
        <v>1122</v>
      </c>
      <c r="AO64" s="35" t="s">
        <v>1386</v>
      </c>
      <c r="BL64" s="35" t="s">
        <v>1643</v>
      </c>
      <c r="BN64"/>
    </row>
    <row r="65" spans="1:66" x14ac:dyDescent="0.25">
      <c r="A65" s="2" t="s">
        <v>139</v>
      </c>
      <c r="E65" s="35" t="s">
        <v>235</v>
      </c>
      <c r="G65" s="35" t="s">
        <v>1123</v>
      </c>
      <c r="AO65" s="35" t="s">
        <v>1387</v>
      </c>
      <c r="BL65" s="35" t="s">
        <v>1644</v>
      </c>
      <c r="BN65"/>
    </row>
    <row r="66" spans="1:66" x14ac:dyDescent="0.25">
      <c r="A66" s="2" t="s">
        <v>104</v>
      </c>
      <c r="E66" s="35" t="s">
        <v>236</v>
      </c>
      <c r="G66" s="35" t="s">
        <v>1951</v>
      </c>
      <c r="AO66" s="35" t="s">
        <v>1388</v>
      </c>
      <c r="BL66" s="35" t="s">
        <v>1645</v>
      </c>
      <c r="BN66"/>
    </row>
    <row r="67" spans="1:66" x14ac:dyDescent="0.25">
      <c r="A67" s="2" t="s">
        <v>123</v>
      </c>
      <c r="E67" s="35" t="s">
        <v>237</v>
      </c>
      <c r="G67" s="35" t="s">
        <v>1952</v>
      </c>
      <c r="AO67" s="35" t="s">
        <v>1389</v>
      </c>
      <c r="BL67" s="35" t="s">
        <v>1646</v>
      </c>
      <c r="BN67"/>
    </row>
    <row r="68" spans="1:66" x14ac:dyDescent="0.25">
      <c r="A68" s="2" t="s">
        <v>137</v>
      </c>
      <c r="E68" s="35" t="s">
        <v>238</v>
      </c>
      <c r="G68" s="35" t="s">
        <v>1953</v>
      </c>
      <c r="AO68" s="35" t="s">
        <v>1390</v>
      </c>
      <c r="BL68" s="35" t="s">
        <v>1647</v>
      </c>
      <c r="BN68"/>
    </row>
    <row r="69" spans="1:66" x14ac:dyDescent="0.25">
      <c r="A69" s="2" t="s">
        <v>15</v>
      </c>
      <c r="E69" s="35" t="s">
        <v>239</v>
      </c>
      <c r="G69" s="35" t="s">
        <v>1124</v>
      </c>
      <c r="AO69" s="35" t="s">
        <v>1391</v>
      </c>
      <c r="BL69" s="35" t="s">
        <v>1648</v>
      </c>
      <c r="BN69"/>
    </row>
    <row r="70" spans="1:66" x14ac:dyDescent="0.25">
      <c r="A70" s="2" t="s">
        <v>14</v>
      </c>
      <c r="E70" s="35" t="s">
        <v>1578</v>
      </c>
      <c r="G70" s="35" t="s">
        <v>1125</v>
      </c>
      <c r="AO70" s="35" t="s">
        <v>1392</v>
      </c>
      <c r="BL70" s="35" t="s">
        <v>1649</v>
      </c>
      <c r="BN70"/>
    </row>
    <row r="71" spans="1:66" x14ac:dyDescent="0.25">
      <c r="A71" s="2" t="s">
        <v>8</v>
      </c>
      <c r="E71" s="35" t="s">
        <v>240</v>
      </c>
      <c r="G71" s="35" t="s">
        <v>1954</v>
      </c>
      <c r="AO71" s="35" t="s">
        <v>1393</v>
      </c>
      <c r="BL71" s="35" t="s">
        <v>1650</v>
      </c>
      <c r="BN71"/>
    </row>
    <row r="72" spans="1:66" x14ac:dyDescent="0.25">
      <c r="A72" s="2" t="s">
        <v>12</v>
      </c>
      <c r="E72" s="35" t="s">
        <v>241</v>
      </c>
      <c r="G72" s="35" t="s">
        <v>1126</v>
      </c>
      <c r="AO72" s="35" t="s">
        <v>1394</v>
      </c>
      <c r="BL72" s="35" t="s">
        <v>1651</v>
      </c>
      <c r="BN72"/>
    </row>
    <row r="73" spans="1:66" x14ac:dyDescent="0.25">
      <c r="A73" s="2" t="s">
        <v>9</v>
      </c>
      <c r="E73" s="35" t="s">
        <v>242</v>
      </c>
      <c r="G73" s="35" t="s">
        <v>1238</v>
      </c>
      <c r="AO73" s="35" t="s">
        <v>1395</v>
      </c>
      <c r="BL73" s="35" t="s">
        <v>1652</v>
      </c>
      <c r="BN73"/>
    </row>
    <row r="74" spans="1:66" x14ac:dyDescent="0.25">
      <c r="A74" s="2" t="s">
        <v>5</v>
      </c>
      <c r="E74" s="35" t="s">
        <v>243</v>
      </c>
      <c r="G74" s="35" t="s">
        <v>1241</v>
      </c>
      <c r="AO74" s="35" t="s">
        <v>1396</v>
      </c>
      <c r="BL74" s="35" t="s">
        <v>1653</v>
      </c>
      <c r="BN74"/>
    </row>
    <row r="75" spans="1:66" x14ac:dyDescent="0.25">
      <c r="A75" s="2" t="s">
        <v>13</v>
      </c>
      <c r="E75" s="35" t="s">
        <v>244</v>
      </c>
      <c r="G75" s="35" t="s">
        <v>1127</v>
      </c>
      <c r="AO75" s="35" t="s">
        <v>1397</v>
      </c>
      <c r="BL75" s="35" t="s">
        <v>1654</v>
      </c>
      <c r="BN75"/>
    </row>
    <row r="76" spans="1:66" x14ac:dyDescent="0.25">
      <c r="A76" s="2" t="s">
        <v>11</v>
      </c>
      <c r="E76" s="35" t="s">
        <v>245</v>
      </c>
      <c r="G76" s="35" t="s">
        <v>1955</v>
      </c>
      <c r="BL76" s="35" t="s">
        <v>1655</v>
      </c>
      <c r="BN76"/>
    </row>
    <row r="77" spans="1:66" x14ac:dyDescent="0.25">
      <c r="A77" s="2" t="s">
        <v>10</v>
      </c>
      <c r="E77" s="35" t="s">
        <v>246</v>
      </c>
      <c r="G77" s="35" t="s">
        <v>1128</v>
      </c>
      <c r="BL77" s="35" t="s">
        <v>1656</v>
      </c>
      <c r="BN77"/>
    </row>
    <row r="78" spans="1:66" x14ac:dyDescent="0.25">
      <c r="A78" s="2" t="s">
        <v>25</v>
      </c>
      <c r="E78" s="35" t="s">
        <v>247</v>
      </c>
      <c r="G78" s="35" t="s">
        <v>1129</v>
      </c>
      <c r="BL78" s="35" t="s">
        <v>1657</v>
      </c>
      <c r="BN78"/>
    </row>
    <row r="79" spans="1:66" x14ac:dyDescent="0.25">
      <c r="A79" s="2" t="s">
        <v>22</v>
      </c>
      <c r="E79" s="35" t="s">
        <v>248</v>
      </c>
      <c r="G79" s="35" t="s">
        <v>1130</v>
      </c>
      <c r="BL79" s="35" t="s">
        <v>1658</v>
      </c>
      <c r="BN79"/>
    </row>
    <row r="80" spans="1:66" x14ac:dyDescent="0.25">
      <c r="A80" s="2" t="s">
        <v>41</v>
      </c>
      <c r="E80" s="35" t="s">
        <v>249</v>
      </c>
      <c r="G80" s="35" t="s">
        <v>1131</v>
      </c>
      <c r="BL80" s="35" t="s">
        <v>1659</v>
      </c>
      <c r="BN80"/>
    </row>
    <row r="81" spans="1:66" x14ac:dyDescent="0.25">
      <c r="A81" s="2" t="s">
        <v>40</v>
      </c>
      <c r="E81" s="35" t="s">
        <v>250</v>
      </c>
      <c r="G81" s="35" t="s">
        <v>1132</v>
      </c>
      <c r="BL81" s="35" t="s">
        <v>1660</v>
      </c>
      <c r="BN81"/>
    </row>
    <row r="82" spans="1:66" x14ac:dyDescent="0.25">
      <c r="A82" s="2" t="s">
        <v>42</v>
      </c>
      <c r="E82" s="35" t="s">
        <v>251</v>
      </c>
      <c r="G82" s="35" t="s">
        <v>1956</v>
      </c>
      <c r="BL82" s="35" t="s">
        <v>1661</v>
      </c>
      <c r="BN82"/>
    </row>
    <row r="83" spans="1:66" x14ac:dyDescent="0.25">
      <c r="A83" s="2" t="s">
        <v>35</v>
      </c>
      <c r="E83" s="35" t="s">
        <v>252</v>
      </c>
      <c r="G83" s="35" t="s">
        <v>1957</v>
      </c>
      <c r="BL83" s="35" t="s">
        <v>1662</v>
      </c>
      <c r="BN83"/>
    </row>
    <row r="84" spans="1:66" x14ac:dyDescent="0.25">
      <c r="A84" s="2" t="s">
        <v>47</v>
      </c>
      <c r="E84" s="35" t="s">
        <v>253</v>
      </c>
      <c r="G84" s="35" t="s">
        <v>1133</v>
      </c>
      <c r="BL84" s="35" t="s">
        <v>1663</v>
      </c>
      <c r="BN84"/>
    </row>
    <row r="85" spans="1:66" x14ac:dyDescent="0.25">
      <c r="A85" s="2" t="s">
        <v>34</v>
      </c>
      <c r="E85" s="35" t="s">
        <v>254</v>
      </c>
      <c r="G85" s="35" t="s">
        <v>1134</v>
      </c>
      <c r="BL85" s="35" t="s">
        <v>1664</v>
      </c>
      <c r="BN85"/>
    </row>
    <row r="86" spans="1:66" x14ac:dyDescent="0.25">
      <c r="A86" s="2" t="s">
        <v>46</v>
      </c>
      <c r="E86" s="35" t="s">
        <v>255</v>
      </c>
      <c r="G86" s="35" t="s">
        <v>1135</v>
      </c>
      <c r="BL86" s="35" t="s">
        <v>1665</v>
      </c>
      <c r="BN86"/>
    </row>
    <row r="87" spans="1:66" x14ac:dyDescent="0.25">
      <c r="A87" s="2" t="s">
        <v>26</v>
      </c>
      <c r="E87" s="35" t="s">
        <v>256</v>
      </c>
      <c r="G87" s="35" t="s">
        <v>1136</v>
      </c>
      <c r="BL87" s="35" t="s">
        <v>1666</v>
      </c>
      <c r="BN87"/>
    </row>
    <row r="88" spans="1:66" x14ac:dyDescent="0.25">
      <c r="A88" s="2" t="s">
        <v>33</v>
      </c>
      <c r="E88" s="35" t="s">
        <v>257</v>
      </c>
      <c r="G88" s="35" t="s">
        <v>1137</v>
      </c>
      <c r="BL88" s="35" t="s">
        <v>1667</v>
      </c>
      <c r="BN88"/>
    </row>
    <row r="89" spans="1:66" x14ac:dyDescent="0.25">
      <c r="A89" s="2" t="s">
        <v>21</v>
      </c>
      <c r="E89" s="35" t="s">
        <v>258</v>
      </c>
      <c r="G89" s="35" t="s">
        <v>1138</v>
      </c>
      <c r="BL89" s="35" t="s">
        <v>1668</v>
      </c>
      <c r="BN89"/>
    </row>
    <row r="90" spans="1:66" x14ac:dyDescent="0.25">
      <c r="A90" s="2" t="s">
        <v>31</v>
      </c>
      <c r="E90" s="35" t="s">
        <v>259</v>
      </c>
      <c r="G90" s="35" t="s">
        <v>1958</v>
      </c>
      <c r="BL90" s="35" t="s">
        <v>1669</v>
      </c>
      <c r="BN90"/>
    </row>
    <row r="91" spans="1:66" x14ac:dyDescent="0.25">
      <c r="A91" s="2" t="s">
        <v>32</v>
      </c>
      <c r="E91" s="35" t="s">
        <v>260</v>
      </c>
      <c r="G91" s="35" t="s">
        <v>1959</v>
      </c>
      <c r="BL91" s="35" t="s">
        <v>1670</v>
      </c>
      <c r="BN91"/>
    </row>
    <row r="92" spans="1:66" x14ac:dyDescent="0.25">
      <c r="A92" s="2" t="s">
        <v>24</v>
      </c>
      <c r="E92" s="35" t="s">
        <v>261</v>
      </c>
      <c r="G92" s="35" t="s">
        <v>1960</v>
      </c>
      <c r="BL92" s="35" t="s">
        <v>1671</v>
      </c>
      <c r="BN92"/>
    </row>
    <row r="93" spans="1:66" x14ac:dyDescent="0.25">
      <c r="A93" s="2" t="s">
        <v>27</v>
      </c>
      <c r="E93" s="35" t="s">
        <v>262</v>
      </c>
      <c r="G93" s="35" t="s">
        <v>1139</v>
      </c>
      <c r="BL93" s="35" t="s">
        <v>1672</v>
      </c>
      <c r="BN93"/>
    </row>
    <row r="94" spans="1:66" x14ac:dyDescent="0.25">
      <c r="A94" s="2" t="s">
        <v>36</v>
      </c>
      <c r="E94" s="35" t="s">
        <v>263</v>
      </c>
      <c r="G94" s="35" t="s">
        <v>1140</v>
      </c>
      <c r="BL94" s="35" t="s">
        <v>1673</v>
      </c>
      <c r="BN94"/>
    </row>
    <row r="95" spans="1:66" x14ac:dyDescent="0.25">
      <c r="A95" s="2" t="s">
        <v>38</v>
      </c>
      <c r="E95" s="35" t="s">
        <v>264</v>
      </c>
      <c r="G95" s="35" t="s">
        <v>1141</v>
      </c>
      <c r="BL95" s="35" t="s">
        <v>1674</v>
      </c>
      <c r="BN95"/>
    </row>
    <row r="96" spans="1:66" x14ac:dyDescent="0.25">
      <c r="A96" s="2" t="s">
        <v>29</v>
      </c>
      <c r="E96" s="35" t="s">
        <v>265</v>
      </c>
      <c r="G96" s="35" t="s">
        <v>1961</v>
      </c>
      <c r="BL96" s="35" t="s">
        <v>1675</v>
      </c>
      <c r="BN96"/>
    </row>
    <row r="97" spans="1:66" x14ac:dyDescent="0.25">
      <c r="A97" s="2" t="s">
        <v>37</v>
      </c>
      <c r="E97" s="35" t="s">
        <v>266</v>
      </c>
      <c r="G97" s="35" t="s">
        <v>1962</v>
      </c>
      <c r="BL97" s="35" t="s">
        <v>1676</v>
      </c>
      <c r="BN97"/>
    </row>
    <row r="98" spans="1:66" x14ac:dyDescent="0.25">
      <c r="A98" s="2" t="s">
        <v>39</v>
      </c>
      <c r="E98" s="35" t="s">
        <v>267</v>
      </c>
      <c r="G98" s="35" t="s">
        <v>1142</v>
      </c>
      <c r="BL98" s="35" t="s">
        <v>1677</v>
      </c>
      <c r="BN98"/>
    </row>
    <row r="99" spans="1:66" x14ac:dyDescent="0.25">
      <c r="A99" s="2" t="s">
        <v>20</v>
      </c>
      <c r="E99" s="35" t="s">
        <v>268</v>
      </c>
      <c r="G99" s="35" t="s">
        <v>1143</v>
      </c>
      <c r="BL99" s="35" t="s">
        <v>1678</v>
      </c>
      <c r="BN99"/>
    </row>
    <row r="100" spans="1:66" x14ac:dyDescent="0.25">
      <c r="A100" s="2" t="s">
        <v>44</v>
      </c>
      <c r="E100" s="35" t="s">
        <v>269</v>
      </c>
      <c r="G100" s="35" t="s">
        <v>1963</v>
      </c>
      <c r="BL100" s="35" t="s">
        <v>1679</v>
      </c>
      <c r="BN100"/>
    </row>
    <row r="101" spans="1:66" x14ac:dyDescent="0.25">
      <c r="A101" s="2" t="s">
        <v>30</v>
      </c>
      <c r="E101" s="35" t="s">
        <v>270</v>
      </c>
      <c r="G101" s="35" t="s">
        <v>1144</v>
      </c>
      <c r="BL101" s="35" t="s">
        <v>1680</v>
      </c>
      <c r="BN101"/>
    </row>
    <row r="102" spans="1:66" x14ac:dyDescent="0.25">
      <c r="A102" s="2" t="s">
        <v>28</v>
      </c>
      <c r="E102" s="35" t="s">
        <v>271</v>
      </c>
      <c r="G102" s="35" t="s">
        <v>1145</v>
      </c>
      <c r="BL102" s="35" t="s">
        <v>1681</v>
      </c>
      <c r="BN102"/>
    </row>
    <row r="103" spans="1:66" x14ac:dyDescent="0.25">
      <c r="A103" s="2" t="s">
        <v>43</v>
      </c>
      <c r="E103" s="35" t="s">
        <v>272</v>
      </c>
      <c r="G103" s="35" t="s">
        <v>1146</v>
      </c>
      <c r="BL103" s="35" t="s">
        <v>1682</v>
      </c>
      <c r="BN103"/>
    </row>
    <row r="104" spans="1:66" x14ac:dyDescent="0.25">
      <c r="A104" s="2" t="s">
        <v>45</v>
      </c>
      <c r="E104" s="35" t="s">
        <v>273</v>
      </c>
      <c r="G104" s="35" t="s">
        <v>1964</v>
      </c>
      <c r="BL104" s="35" t="s">
        <v>1683</v>
      </c>
      <c r="BN104"/>
    </row>
    <row r="105" spans="1:66" x14ac:dyDescent="0.25">
      <c r="A105" s="2" t="s">
        <v>93</v>
      </c>
      <c r="E105" s="35" t="s">
        <v>274</v>
      </c>
      <c r="G105" s="35" t="s">
        <v>1147</v>
      </c>
      <c r="BL105" s="35" t="s">
        <v>1684</v>
      </c>
      <c r="BN105"/>
    </row>
    <row r="106" spans="1:66" x14ac:dyDescent="0.25">
      <c r="A106" s="2" t="s">
        <v>2</v>
      </c>
      <c r="E106" s="35" t="s">
        <v>275</v>
      </c>
      <c r="G106" s="35" t="s">
        <v>1148</v>
      </c>
      <c r="BL106" s="35" t="s">
        <v>1685</v>
      </c>
      <c r="BN106"/>
    </row>
    <row r="107" spans="1:66" x14ac:dyDescent="0.25">
      <c r="A107" s="2" t="s">
        <v>74</v>
      </c>
      <c r="E107" s="35" t="s">
        <v>276</v>
      </c>
      <c r="G107" s="35" t="s">
        <v>1149</v>
      </c>
      <c r="BL107" s="35" t="s">
        <v>1686</v>
      </c>
      <c r="BN107"/>
    </row>
    <row r="108" spans="1:66" x14ac:dyDescent="0.25">
      <c r="A108" s="2" t="s">
        <v>63</v>
      </c>
      <c r="E108" s="35" t="s">
        <v>277</v>
      </c>
      <c r="G108" s="35" t="s">
        <v>1150</v>
      </c>
      <c r="BL108" s="35" t="s">
        <v>1687</v>
      </c>
      <c r="BN108"/>
    </row>
    <row r="109" spans="1:66" x14ac:dyDescent="0.25">
      <c r="A109" s="2" t="s">
        <v>125</v>
      </c>
      <c r="E109" s="35" t="s">
        <v>278</v>
      </c>
      <c r="G109" s="35" t="s">
        <v>1151</v>
      </c>
      <c r="BL109" s="35" t="s">
        <v>1688</v>
      </c>
      <c r="BN109"/>
    </row>
    <row r="110" spans="1:66" x14ac:dyDescent="0.25">
      <c r="A110" s="2" t="s">
        <v>105</v>
      </c>
      <c r="E110" s="35" t="s">
        <v>279</v>
      </c>
      <c r="G110" s="35" t="s">
        <v>1965</v>
      </c>
      <c r="BL110" s="35" t="s">
        <v>1689</v>
      </c>
      <c r="BN110"/>
    </row>
    <row r="111" spans="1:66" x14ac:dyDescent="0.25">
      <c r="A111" s="2" t="s">
        <v>132</v>
      </c>
      <c r="E111" s="35" t="s">
        <v>280</v>
      </c>
      <c r="G111" s="35" t="s">
        <v>1152</v>
      </c>
      <c r="BL111" s="35" t="s">
        <v>1690</v>
      </c>
      <c r="BN111"/>
    </row>
    <row r="112" spans="1:66" x14ac:dyDescent="0.25">
      <c r="A112" s="2" t="s">
        <v>135</v>
      </c>
      <c r="E112" s="35" t="s">
        <v>281</v>
      </c>
      <c r="G112" s="35" t="s">
        <v>1153</v>
      </c>
      <c r="BL112" s="35" t="s">
        <v>1691</v>
      </c>
      <c r="BN112"/>
    </row>
    <row r="113" spans="1:66" x14ac:dyDescent="0.25">
      <c r="A113" s="2" t="s">
        <v>108</v>
      </c>
      <c r="E113" s="35" t="s">
        <v>282</v>
      </c>
      <c r="G113" s="35" t="s">
        <v>1154</v>
      </c>
      <c r="BL113" s="35" t="s">
        <v>1692</v>
      </c>
      <c r="BN113"/>
    </row>
    <row r="114" spans="1:66" x14ac:dyDescent="0.25">
      <c r="A114" s="2" t="s">
        <v>133</v>
      </c>
      <c r="E114" s="35" t="s">
        <v>283</v>
      </c>
      <c r="G114" s="35" t="s">
        <v>1155</v>
      </c>
      <c r="BL114" s="35" t="s">
        <v>1693</v>
      </c>
      <c r="BN114"/>
    </row>
    <row r="115" spans="1:66" x14ac:dyDescent="0.25">
      <c r="A115" s="2" t="s">
        <v>138</v>
      </c>
      <c r="E115" s="35" t="s">
        <v>284</v>
      </c>
      <c r="G115" s="35" t="s">
        <v>1156</v>
      </c>
      <c r="BL115" s="35" t="s">
        <v>1694</v>
      </c>
      <c r="BN115"/>
    </row>
    <row r="116" spans="1:66" x14ac:dyDescent="0.25">
      <c r="A116" s="2" t="s">
        <v>120</v>
      </c>
      <c r="E116" s="35" t="s">
        <v>285</v>
      </c>
      <c r="G116" s="35" t="s">
        <v>1157</v>
      </c>
      <c r="BL116" s="35" t="s">
        <v>1695</v>
      </c>
      <c r="BN116"/>
    </row>
    <row r="117" spans="1:66" x14ac:dyDescent="0.25">
      <c r="A117" s="2" t="s">
        <v>107</v>
      </c>
      <c r="E117" s="35" t="s">
        <v>286</v>
      </c>
      <c r="G117" s="35" t="s">
        <v>1966</v>
      </c>
      <c r="BL117" s="35" t="s">
        <v>1696</v>
      </c>
      <c r="BN117"/>
    </row>
    <row r="118" spans="1:66" x14ac:dyDescent="0.25">
      <c r="A118" s="2" t="s">
        <v>109</v>
      </c>
      <c r="E118" s="35" t="s">
        <v>287</v>
      </c>
      <c r="G118" s="35" t="s">
        <v>1967</v>
      </c>
      <c r="BL118" s="35" t="s">
        <v>1697</v>
      </c>
      <c r="BN118"/>
    </row>
    <row r="119" spans="1:66" x14ac:dyDescent="0.25">
      <c r="A119" s="2" t="s">
        <v>48</v>
      </c>
      <c r="E119" s="35" t="s">
        <v>288</v>
      </c>
      <c r="G119" s="35" t="s">
        <v>1158</v>
      </c>
      <c r="BL119" s="35" t="s">
        <v>1698</v>
      </c>
      <c r="BN119"/>
    </row>
    <row r="120" spans="1:66" x14ac:dyDescent="0.25">
      <c r="A120" s="2" t="s">
        <v>61</v>
      </c>
      <c r="E120" s="35" t="s">
        <v>289</v>
      </c>
      <c r="G120" s="35" t="s">
        <v>1159</v>
      </c>
      <c r="BL120" s="35" t="s">
        <v>1699</v>
      </c>
      <c r="BN120"/>
    </row>
    <row r="121" spans="1:66" x14ac:dyDescent="0.25">
      <c r="A121" s="2" t="s">
        <v>76</v>
      </c>
      <c r="E121" s="35" t="s">
        <v>290</v>
      </c>
      <c r="G121" s="35" t="s">
        <v>1239</v>
      </c>
      <c r="BL121" s="35" t="s">
        <v>1700</v>
      </c>
      <c r="BN121"/>
    </row>
    <row r="122" spans="1:66" x14ac:dyDescent="0.25">
      <c r="A122" s="2" t="s">
        <v>6</v>
      </c>
      <c r="E122" s="35" t="s">
        <v>291</v>
      </c>
      <c r="G122" s="35" t="s">
        <v>1968</v>
      </c>
      <c r="BL122" s="35" t="s">
        <v>1701</v>
      </c>
      <c r="BN122"/>
    </row>
    <row r="123" spans="1:66" x14ac:dyDescent="0.25">
      <c r="A123" s="2" t="s">
        <v>122</v>
      </c>
      <c r="E123" s="35" t="s">
        <v>292</v>
      </c>
      <c r="G123" s="35" t="s">
        <v>1160</v>
      </c>
      <c r="BL123" s="35" t="s">
        <v>1702</v>
      </c>
      <c r="BN123"/>
    </row>
    <row r="124" spans="1:66" x14ac:dyDescent="0.25">
      <c r="A124" s="2" t="s">
        <v>23</v>
      </c>
      <c r="E124" s="35" t="s">
        <v>293</v>
      </c>
      <c r="G124" s="35" t="s">
        <v>1161</v>
      </c>
      <c r="BL124" s="35" t="s">
        <v>1703</v>
      </c>
      <c r="BN124"/>
    </row>
    <row r="125" spans="1:66" x14ac:dyDescent="0.25">
      <c r="A125" s="2" t="s">
        <v>106</v>
      </c>
      <c r="E125" s="35" t="s">
        <v>294</v>
      </c>
      <c r="G125" s="35" t="s">
        <v>1162</v>
      </c>
      <c r="BL125" s="35" t="s">
        <v>1704</v>
      </c>
      <c r="BN125"/>
    </row>
    <row r="126" spans="1:66" x14ac:dyDescent="0.25">
      <c r="A126" s="2" t="s">
        <v>92</v>
      </c>
      <c r="E126" s="35" t="s">
        <v>295</v>
      </c>
      <c r="G126" s="35" t="s">
        <v>1163</v>
      </c>
      <c r="BL126" s="35" t="s">
        <v>1705</v>
      </c>
      <c r="BN126"/>
    </row>
    <row r="127" spans="1:66" x14ac:dyDescent="0.25">
      <c r="A127" s="2" t="s">
        <v>58</v>
      </c>
      <c r="E127" s="35" t="s">
        <v>296</v>
      </c>
      <c r="G127" s="35" t="s">
        <v>1164</v>
      </c>
      <c r="BL127" s="35" t="s">
        <v>1706</v>
      </c>
      <c r="BN127"/>
    </row>
    <row r="128" spans="1:66" x14ac:dyDescent="0.25">
      <c r="A128" s="2" t="s">
        <v>59</v>
      </c>
      <c r="E128" s="35" t="s">
        <v>297</v>
      </c>
      <c r="G128" s="35" t="s">
        <v>1165</v>
      </c>
      <c r="BL128" s="35" t="s">
        <v>1707</v>
      </c>
      <c r="BN128"/>
    </row>
    <row r="129" spans="1:66" x14ac:dyDescent="0.25">
      <c r="A129" s="2" t="s">
        <v>136</v>
      </c>
      <c r="E129" s="35" t="s">
        <v>298</v>
      </c>
      <c r="G129" s="35" t="s">
        <v>1166</v>
      </c>
      <c r="BL129" s="35" t="s">
        <v>1708</v>
      </c>
      <c r="BN129"/>
    </row>
    <row r="130" spans="1:66" x14ac:dyDescent="0.25">
      <c r="A130" s="2" t="s">
        <v>50</v>
      </c>
      <c r="E130" s="35" t="s">
        <v>299</v>
      </c>
      <c r="G130" s="35" t="s">
        <v>1167</v>
      </c>
      <c r="BL130" s="35" t="s">
        <v>1709</v>
      </c>
      <c r="BN130"/>
    </row>
    <row r="131" spans="1:66" x14ac:dyDescent="0.25">
      <c r="A131" s="2" t="s">
        <v>51</v>
      </c>
      <c r="E131" s="35" t="s">
        <v>300</v>
      </c>
      <c r="G131" s="35" t="s">
        <v>1168</v>
      </c>
      <c r="BL131" s="35" t="s">
        <v>1710</v>
      </c>
      <c r="BN131"/>
    </row>
    <row r="132" spans="1:66" x14ac:dyDescent="0.25">
      <c r="A132" s="2" t="s">
        <v>49</v>
      </c>
      <c r="E132" s="35" t="s">
        <v>301</v>
      </c>
      <c r="G132" s="35" t="s">
        <v>1169</v>
      </c>
      <c r="BL132" s="35" t="s">
        <v>1711</v>
      </c>
      <c r="BN132"/>
    </row>
    <row r="133" spans="1:66" x14ac:dyDescent="0.25">
      <c r="A133" s="2" t="s">
        <v>77</v>
      </c>
      <c r="E133" s="35" t="s">
        <v>302</v>
      </c>
      <c r="G133" s="35" t="s">
        <v>1170</v>
      </c>
      <c r="BL133" s="35" t="s">
        <v>1712</v>
      </c>
      <c r="BN133"/>
    </row>
    <row r="134" spans="1:66" x14ac:dyDescent="0.25">
      <c r="A134" s="2" t="s">
        <v>91</v>
      </c>
      <c r="E134" s="35" t="s">
        <v>303</v>
      </c>
      <c r="G134" s="35" t="s">
        <v>1969</v>
      </c>
      <c r="BL134" s="35" t="s">
        <v>1713</v>
      </c>
      <c r="BN134"/>
    </row>
    <row r="135" spans="1:66" x14ac:dyDescent="0.25">
      <c r="A135" s="2" t="s">
        <v>90</v>
      </c>
      <c r="E135" s="35" t="s">
        <v>304</v>
      </c>
      <c r="G135" s="35" t="s">
        <v>1171</v>
      </c>
      <c r="BL135" s="35" t="s">
        <v>1714</v>
      </c>
      <c r="BN135"/>
    </row>
    <row r="136" spans="1:66" x14ac:dyDescent="0.25">
      <c r="A136" s="2" t="s">
        <v>126</v>
      </c>
      <c r="E136" s="35" t="s">
        <v>305</v>
      </c>
      <c r="G136" s="35" t="s">
        <v>1970</v>
      </c>
      <c r="BL136" s="35" t="s">
        <v>1715</v>
      </c>
      <c r="BN136"/>
    </row>
    <row r="137" spans="1:66" x14ac:dyDescent="0.25">
      <c r="A137" s="2" t="s">
        <v>4</v>
      </c>
      <c r="E137" s="35" t="s">
        <v>306</v>
      </c>
      <c r="G137" s="35" t="s">
        <v>1172</v>
      </c>
      <c r="BL137" s="35" t="s">
        <v>1716</v>
      </c>
      <c r="BN137"/>
    </row>
    <row r="138" spans="1:66" x14ac:dyDescent="0.25">
      <c r="A138" s="2" t="s">
        <v>55</v>
      </c>
      <c r="E138" s="35" t="s">
        <v>307</v>
      </c>
      <c r="G138" s="35" t="s">
        <v>1173</v>
      </c>
      <c r="BL138" s="35" t="s">
        <v>1717</v>
      </c>
      <c r="BN138"/>
    </row>
    <row r="139" spans="1:66" x14ac:dyDescent="0.25">
      <c r="A139" s="2" t="s">
        <v>52</v>
      </c>
      <c r="E139" s="35" t="s">
        <v>308</v>
      </c>
      <c r="G139" s="35" t="s">
        <v>1971</v>
      </c>
      <c r="BL139" s="35" t="s">
        <v>1718</v>
      </c>
      <c r="BN139"/>
    </row>
    <row r="140" spans="1:66" x14ac:dyDescent="0.25">
      <c r="A140" s="2" t="s">
        <v>53</v>
      </c>
      <c r="E140" s="35" t="s">
        <v>309</v>
      </c>
      <c r="G140" s="35" t="s">
        <v>1174</v>
      </c>
      <c r="BL140" s="35" t="s">
        <v>1719</v>
      </c>
      <c r="BN140"/>
    </row>
    <row r="141" spans="1:66" x14ac:dyDescent="0.25">
      <c r="A141" s="2" t="s">
        <v>54</v>
      </c>
      <c r="E141" s="35" t="s">
        <v>310</v>
      </c>
      <c r="G141" s="35" t="s">
        <v>1175</v>
      </c>
      <c r="BL141" s="35" t="s">
        <v>1720</v>
      </c>
      <c r="BN141"/>
    </row>
    <row r="142" spans="1:66" x14ac:dyDescent="0.25">
      <c r="A142" s="2" t="s">
        <v>87</v>
      </c>
      <c r="E142" s="35" t="s">
        <v>311</v>
      </c>
      <c r="G142" s="35" t="s">
        <v>1972</v>
      </c>
      <c r="BL142" s="35" t="s">
        <v>1721</v>
      </c>
      <c r="BN142"/>
    </row>
    <row r="143" spans="1:66" x14ac:dyDescent="0.25">
      <c r="A143" s="2" t="s">
        <v>70</v>
      </c>
      <c r="E143" s="35" t="s">
        <v>312</v>
      </c>
      <c r="G143" s="35" t="s">
        <v>1177</v>
      </c>
      <c r="BL143" s="35" t="s">
        <v>1722</v>
      </c>
      <c r="BN143"/>
    </row>
    <row r="144" spans="1:66" x14ac:dyDescent="0.25">
      <c r="A144" s="2" t="s">
        <v>71</v>
      </c>
      <c r="E144" s="35" t="s">
        <v>313</v>
      </c>
      <c r="G144" s="35" t="s">
        <v>1176</v>
      </c>
      <c r="BL144" s="35" t="s">
        <v>1723</v>
      </c>
      <c r="BN144"/>
    </row>
    <row r="145" spans="1:66" x14ac:dyDescent="0.25">
      <c r="A145" s="2" t="s">
        <v>69</v>
      </c>
      <c r="E145" s="35" t="s">
        <v>1579</v>
      </c>
      <c r="G145" s="35" t="s">
        <v>1178</v>
      </c>
      <c r="BL145" s="35" t="s">
        <v>1724</v>
      </c>
      <c r="BN145"/>
    </row>
    <row r="146" spans="1:66" x14ac:dyDescent="0.25">
      <c r="E146" s="35" t="s">
        <v>314</v>
      </c>
      <c r="G146" s="35" t="s">
        <v>1973</v>
      </c>
      <c r="BL146" s="35" t="s">
        <v>1725</v>
      </c>
      <c r="BN146"/>
    </row>
    <row r="147" spans="1:66" x14ac:dyDescent="0.25">
      <c r="E147" s="35" t="s">
        <v>315</v>
      </c>
      <c r="G147" s="35" t="s">
        <v>1179</v>
      </c>
      <c r="BL147" s="35" t="s">
        <v>1726</v>
      </c>
      <c r="BN147"/>
    </row>
    <row r="148" spans="1:66" x14ac:dyDescent="0.25">
      <c r="E148" s="35" t="s">
        <v>316</v>
      </c>
      <c r="G148" s="35" t="s">
        <v>1180</v>
      </c>
      <c r="BL148" s="35" t="s">
        <v>1727</v>
      </c>
      <c r="BN148"/>
    </row>
    <row r="149" spans="1:66" x14ac:dyDescent="0.25">
      <c r="E149" s="35" t="s">
        <v>317</v>
      </c>
      <c r="G149" s="35" t="s">
        <v>1181</v>
      </c>
      <c r="BL149" s="35" t="s">
        <v>1728</v>
      </c>
      <c r="BN149"/>
    </row>
    <row r="150" spans="1:66" x14ac:dyDescent="0.25">
      <c r="E150" s="35" t="s">
        <v>318</v>
      </c>
      <c r="G150" s="35" t="s">
        <v>1182</v>
      </c>
      <c r="BL150" s="35" t="s">
        <v>1729</v>
      </c>
      <c r="BN150"/>
    </row>
    <row r="151" spans="1:66" x14ac:dyDescent="0.25">
      <c r="E151" s="35" t="s">
        <v>319</v>
      </c>
      <c r="G151" s="35" t="s">
        <v>1183</v>
      </c>
      <c r="BL151" s="35" t="s">
        <v>1730</v>
      </c>
      <c r="BN151"/>
    </row>
    <row r="152" spans="1:66" x14ac:dyDescent="0.25">
      <c r="E152" s="35" t="s">
        <v>320</v>
      </c>
      <c r="G152" s="35" t="s">
        <v>1184</v>
      </c>
      <c r="BL152" s="35" t="s">
        <v>1731</v>
      </c>
      <c r="BN152"/>
    </row>
    <row r="153" spans="1:66" x14ac:dyDescent="0.25">
      <c r="E153" s="35" t="s">
        <v>321</v>
      </c>
      <c r="G153" s="35" t="s">
        <v>1185</v>
      </c>
      <c r="BL153" s="35" t="s">
        <v>1732</v>
      </c>
      <c r="BN153"/>
    </row>
    <row r="154" spans="1:66" x14ac:dyDescent="0.25">
      <c r="E154" s="35" t="s">
        <v>322</v>
      </c>
      <c r="G154" s="73" t="s">
        <v>1186</v>
      </c>
      <c r="BL154" s="35" t="s">
        <v>1733</v>
      </c>
      <c r="BN154"/>
    </row>
    <row r="155" spans="1:66" x14ac:dyDescent="0.25">
      <c r="E155" s="35" t="s">
        <v>323</v>
      </c>
      <c r="G155" s="35" t="s">
        <v>1974</v>
      </c>
      <c r="BL155" s="35" t="s">
        <v>1734</v>
      </c>
      <c r="BN155"/>
    </row>
    <row r="156" spans="1:66" x14ac:dyDescent="0.25">
      <c r="E156" s="35" t="s">
        <v>324</v>
      </c>
      <c r="G156" s="35" t="s">
        <v>1187</v>
      </c>
      <c r="BL156" s="35" t="s">
        <v>1735</v>
      </c>
      <c r="BN156"/>
    </row>
    <row r="157" spans="1:66" x14ac:dyDescent="0.25">
      <c r="E157" s="35" t="s">
        <v>325</v>
      </c>
      <c r="G157" s="35" t="s">
        <v>1975</v>
      </c>
      <c r="BL157" s="35" t="s">
        <v>1736</v>
      </c>
      <c r="BN157"/>
    </row>
    <row r="158" spans="1:66" x14ac:dyDescent="0.25">
      <c r="E158" s="35" t="s">
        <v>326</v>
      </c>
      <c r="G158" s="35" t="s">
        <v>1188</v>
      </c>
      <c r="BL158" s="35" t="s">
        <v>1737</v>
      </c>
      <c r="BN158"/>
    </row>
    <row r="159" spans="1:66" x14ac:dyDescent="0.25">
      <c r="E159" s="35" t="s">
        <v>327</v>
      </c>
      <c r="G159" s="35" t="s">
        <v>1189</v>
      </c>
      <c r="BL159" s="35" t="s">
        <v>1738</v>
      </c>
      <c r="BN159"/>
    </row>
    <row r="160" spans="1:66" x14ac:dyDescent="0.25">
      <c r="E160" s="35" t="s">
        <v>328</v>
      </c>
      <c r="G160" s="35" t="s">
        <v>1190</v>
      </c>
      <c r="BL160" s="35" t="s">
        <v>1739</v>
      </c>
      <c r="BN160"/>
    </row>
    <row r="161" spans="5:66" x14ac:dyDescent="0.25">
      <c r="E161" s="35" t="s">
        <v>329</v>
      </c>
      <c r="G161" s="35" t="s">
        <v>1191</v>
      </c>
      <c r="BL161" s="35" t="s">
        <v>1740</v>
      </c>
      <c r="BN161"/>
    </row>
    <row r="162" spans="5:66" x14ac:dyDescent="0.25">
      <c r="E162" s="35" t="s">
        <v>330</v>
      </c>
      <c r="G162" s="35" t="s">
        <v>1192</v>
      </c>
      <c r="BL162" s="35" t="s">
        <v>1741</v>
      </c>
      <c r="BN162"/>
    </row>
    <row r="163" spans="5:66" x14ac:dyDescent="0.25">
      <c r="E163" s="35" t="s">
        <v>331</v>
      </c>
      <c r="G163" s="35" t="s">
        <v>1193</v>
      </c>
      <c r="BL163" s="35" t="s">
        <v>1382</v>
      </c>
      <c r="BN163"/>
    </row>
    <row r="164" spans="5:66" x14ac:dyDescent="0.25">
      <c r="E164" s="35" t="s">
        <v>332</v>
      </c>
      <c r="G164" s="35" t="s">
        <v>1194</v>
      </c>
      <c r="BL164" s="35" t="s">
        <v>1742</v>
      </c>
      <c r="BN164"/>
    </row>
    <row r="165" spans="5:66" x14ac:dyDescent="0.25">
      <c r="E165" s="35" t="s">
        <v>333</v>
      </c>
      <c r="G165" s="35" t="s">
        <v>1195</v>
      </c>
      <c r="BL165" s="35" t="s">
        <v>1743</v>
      </c>
      <c r="BN165"/>
    </row>
    <row r="166" spans="5:66" x14ac:dyDescent="0.25">
      <c r="E166" s="35" t="s">
        <v>334</v>
      </c>
      <c r="G166" s="35" t="s">
        <v>1196</v>
      </c>
      <c r="BL166" s="35" t="s">
        <v>1744</v>
      </c>
      <c r="BN166"/>
    </row>
    <row r="167" spans="5:66" x14ac:dyDescent="0.25">
      <c r="E167" s="35" t="s">
        <v>335</v>
      </c>
      <c r="G167" s="35" t="s">
        <v>1197</v>
      </c>
      <c r="BL167" s="35" t="s">
        <v>1745</v>
      </c>
      <c r="BN167"/>
    </row>
    <row r="168" spans="5:66" x14ac:dyDescent="0.25">
      <c r="E168" s="35" t="s">
        <v>336</v>
      </c>
      <c r="G168" s="126" t="s">
        <v>1976</v>
      </c>
      <c r="BL168" s="35" t="s">
        <v>1746</v>
      </c>
      <c r="BN168"/>
    </row>
    <row r="169" spans="5:66" x14ac:dyDescent="0.25">
      <c r="E169" s="35" t="s">
        <v>337</v>
      </c>
      <c r="G169" s="35" t="s">
        <v>1977</v>
      </c>
      <c r="BL169" s="35" t="s">
        <v>1747</v>
      </c>
      <c r="BN169"/>
    </row>
    <row r="170" spans="5:66" x14ac:dyDescent="0.25">
      <c r="E170" s="35" t="s">
        <v>338</v>
      </c>
      <c r="G170" s="35" t="s">
        <v>1978</v>
      </c>
      <c r="BL170" s="35" t="s">
        <v>1748</v>
      </c>
      <c r="BN170"/>
    </row>
    <row r="171" spans="5:66" x14ac:dyDescent="0.25">
      <c r="E171" s="35" t="s">
        <v>339</v>
      </c>
      <c r="G171" s="35" t="s">
        <v>1198</v>
      </c>
      <c r="BL171" s="35" t="s">
        <v>1749</v>
      </c>
      <c r="BN171"/>
    </row>
    <row r="172" spans="5:66" x14ac:dyDescent="0.25">
      <c r="E172" s="35" t="s">
        <v>340</v>
      </c>
      <c r="G172" s="35" t="s">
        <v>1199</v>
      </c>
      <c r="BL172" s="35" t="s">
        <v>1750</v>
      </c>
      <c r="BN172"/>
    </row>
    <row r="173" spans="5:66" x14ac:dyDescent="0.25">
      <c r="E173" s="35" t="s">
        <v>341</v>
      </c>
      <c r="G173" s="35" t="s">
        <v>1979</v>
      </c>
      <c r="BL173" s="35" t="s">
        <v>1751</v>
      </c>
      <c r="BN173"/>
    </row>
    <row r="174" spans="5:66" x14ac:dyDescent="0.25">
      <c r="E174" s="35" t="s">
        <v>342</v>
      </c>
      <c r="G174" s="35" t="s">
        <v>1200</v>
      </c>
      <c r="BL174" s="35" t="s">
        <v>1752</v>
      </c>
      <c r="BN174"/>
    </row>
    <row r="175" spans="5:66" x14ac:dyDescent="0.25">
      <c r="E175" s="35" t="s">
        <v>343</v>
      </c>
      <c r="G175" s="35" t="s">
        <v>1201</v>
      </c>
      <c r="BL175" s="35" t="s">
        <v>1753</v>
      </c>
      <c r="BN175"/>
    </row>
    <row r="176" spans="5:66" x14ac:dyDescent="0.25">
      <c r="E176" s="35" t="s">
        <v>344</v>
      </c>
      <c r="G176" s="35" t="s">
        <v>1980</v>
      </c>
      <c r="BL176" s="35" t="s">
        <v>1754</v>
      </c>
      <c r="BN176"/>
    </row>
    <row r="177" spans="5:66" x14ac:dyDescent="0.25">
      <c r="E177" s="35" t="s">
        <v>345</v>
      </c>
      <c r="G177" s="35" t="s">
        <v>1202</v>
      </c>
      <c r="BL177" s="35" t="s">
        <v>1755</v>
      </c>
      <c r="BN177"/>
    </row>
    <row r="178" spans="5:66" x14ac:dyDescent="0.25">
      <c r="E178" s="35" t="s">
        <v>346</v>
      </c>
      <c r="G178" s="35" t="s">
        <v>1981</v>
      </c>
      <c r="BL178" s="35" t="s">
        <v>1756</v>
      </c>
      <c r="BN178"/>
    </row>
    <row r="179" spans="5:66" x14ac:dyDescent="0.25">
      <c r="E179" s="35" t="s">
        <v>347</v>
      </c>
      <c r="G179" s="35" t="s">
        <v>1203</v>
      </c>
      <c r="BL179" s="35" t="s">
        <v>1757</v>
      </c>
      <c r="BN179"/>
    </row>
    <row r="180" spans="5:66" x14ac:dyDescent="0.25">
      <c r="E180" s="35" t="s">
        <v>348</v>
      </c>
      <c r="G180" s="35" t="s">
        <v>1982</v>
      </c>
      <c r="BL180" s="35" t="s">
        <v>1758</v>
      </c>
      <c r="BN180"/>
    </row>
    <row r="181" spans="5:66" x14ac:dyDescent="0.25">
      <c r="E181" s="35" t="s">
        <v>349</v>
      </c>
      <c r="G181" s="35" t="s">
        <v>1204</v>
      </c>
      <c r="BL181" s="35" t="s">
        <v>1759</v>
      </c>
      <c r="BN181"/>
    </row>
    <row r="182" spans="5:66" x14ac:dyDescent="0.25">
      <c r="E182" s="35" t="s">
        <v>350</v>
      </c>
      <c r="G182" s="35" t="s">
        <v>1205</v>
      </c>
      <c r="BL182" s="35" t="s">
        <v>1760</v>
      </c>
      <c r="BN182"/>
    </row>
    <row r="183" spans="5:66" x14ac:dyDescent="0.25">
      <c r="E183" s="35" t="s">
        <v>351</v>
      </c>
      <c r="G183" s="35" t="s">
        <v>1206</v>
      </c>
      <c r="BL183" s="35" t="s">
        <v>1761</v>
      </c>
      <c r="BN183"/>
    </row>
    <row r="184" spans="5:66" x14ac:dyDescent="0.25">
      <c r="E184" s="35" t="s">
        <v>352</v>
      </c>
      <c r="G184" s="35" t="s">
        <v>1983</v>
      </c>
      <c r="BL184" s="35" t="s">
        <v>1762</v>
      </c>
      <c r="BN184"/>
    </row>
    <row r="185" spans="5:66" x14ac:dyDescent="0.25">
      <c r="E185" s="35" t="s">
        <v>353</v>
      </c>
      <c r="G185" s="35" t="s">
        <v>1984</v>
      </c>
      <c r="BL185" s="35" t="s">
        <v>1763</v>
      </c>
      <c r="BN185"/>
    </row>
    <row r="186" spans="5:66" x14ac:dyDescent="0.25">
      <c r="E186" s="35" t="s">
        <v>354</v>
      </c>
      <c r="G186" s="35" t="s">
        <v>1207</v>
      </c>
      <c r="BL186" s="35" t="s">
        <v>1764</v>
      </c>
      <c r="BN186"/>
    </row>
    <row r="187" spans="5:66" x14ac:dyDescent="0.25">
      <c r="E187" s="35" t="s">
        <v>355</v>
      </c>
      <c r="G187" s="35" t="s">
        <v>1985</v>
      </c>
      <c r="BL187" s="35" t="s">
        <v>1765</v>
      </c>
      <c r="BN187"/>
    </row>
    <row r="188" spans="5:66" x14ac:dyDescent="0.25">
      <c r="E188" s="35" t="s">
        <v>356</v>
      </c>
      <c r="G188" s="35" t="s">
        <v>1208</v>
      </c>
      <c r="BL188" s="35" t="s">
        <v>1766</v>
      </c>
      <c r="BN188"/>
    </row>
    <row r="189" spans="5:66" x14ac:dyDescent="0.25">
      <c r="E189" s="35" t="s">
        <v>357</v>
      </c>
      <c r="G189" s="35" t="s">
        <v>1209</v>
      </c>
      <c r="BL189" s="35" t="s">
        <v>1767</v>
      </c>
      <c r="BN189"/>
    </row>
    <row r="190" spans="5:66" x14ac:dyDescent="0.25">
      <c r="E190" s="35" t="s">
        <v>358</v>
      </c>
      <c r="G190" s="35" t="s">
        <v>1210</v>
      </c>
      <c r="BL190" s="35" t="s">
        <v>1768</v>
      </c>
      <c r="BN190"/>
    </row>
    <row r="191" spans="5:66" x14ac:dyDescent="0.25">
      <c r="E191" s="35" t="s">
        <v>359</v>
      </c>
      <c r="G191" s="35" t="s">
        <v>1211</v>
      </c>
      <c r="BL191" s="35" t="s">
        <v>1769</v>
      </c>
      <c r="BN191"/>
    </row>
    <row r="192" spans="5:66" x14ac:dyDescent="0.25">
      <c r="E192" s="35" t="s">
        <v>360</v>
      </c>
      <c r="G192" s="35" t="s">
        <v>1212</v>
      </c>
      <c r="BL192" s="35" t="s">
        <v>1770</v>
      </c>
      <c r="BN192"/>
    </row>
    <row r="193" spans="5:66" x14ac:dyDescent="0.25">
      <c r="E193" s="35" t="s">
        <v>361</v>
      </c>
      <c r="G193" s="35" t="s">
        <v>1986</v>
      </c>
      <c r="BL193" s="35" t="s">
        <v>1771</v>
      </c>
      <c r="BN193"/>
    </row>
    <row r="194" spans="5:66" x14ac:dyDescent="0.25">
      <c r="E194" s="35" t="s">
        <v>362</v>
      </c>
      <c r="G194" s="35" t="s">
        <v>1987</v>
      </c>
      <c r="BL194" s="35" t="s">
        <v>1772</v>
      </c>
      <c r="BN194"/>
    </row>
    <row r="195" spans="5:66" x14ac:dyDescent="0.25">
      <c r="E195" s="35" t="s">
        <v>418</v>
      </c>
      <c r="G195" s="35" t="s">
        <v>77</v>
      </c>
      <c r="BL195" s="35" t="s">
        <v>1391</v>
      </c>
      <c r="BN195"/>
    </row>
    <row r="196" spans="5:66" x14ac:dyDescent="0.25">
      <c r="E196" s="35" t="s">
        <v>363</v>
      </c>
      <c r="G196" s="35" t="s">
        <v>1213</v>
      </c>
      <c r="BL196" s="35" t="s">
        <v>1773</v>
      </c>
      <c r="BN196"/>
    </row>
    <row r="197" spans="5:66" x14ac:dyDescent="0.25">
      <c r="E197" s="35" t="s">
        <v>364</v>
      </c>
      <c r="G197" s="35" t="s">
        <v>1097</v>
      </c>
      <c r="BL197" s="35" t="s">
        <v>1774</v>
      </c>
      <c r="BN197"/>
    </row>
    <row r="198" spans="5:66" x14ac:dyDescent="0.25">
      <c r="E198" s="44" t="s">
        <v>365</v>
      </c>
      <c r="G198" s="35" t="s">
        <v>1214</v>
      </c>
      <c r="BL198" s="35" t="s">
        <v>1775</v>
      </c>
      <c r="BN198"/>
    </row>
    <row r="199" spans="5:66" x14ac:dyDescent="0.25">
      <c r="E199" s="35" t="s">
        <v>366</v>
      </c>
      <c r="G199" s="35" t="s">
        <v>1215</v>
      </c>
      <c r="BL199" s="35" t="s">
        <v>1776</v>
      </c>
      <c r="BN199"/>
    </row>
    <row r="200" spans="5:66" x14ac:dyDescent="0.25">
      <c r="E200" s="35" t="s">
        <v>367</v>
      </c>
      <c r="G200" s="35" t="s">
        <v>1216</v>
      </c>
      <c r="BL200" s="35" t="s">
        <v>1777</v>
      </c>
      <c r="BN200"/>
    </row>
    <row r="201" spans="5:66" x14ac:dyDescent="0.25">
      <c r="E201" s="35" t="s">
        <v>417</v>
      </c>
      <c r="G201" s="35" t="s">
        <v>1217</v>
      </c>
      <c r="BL201" s="35" t="s">
        <v>1778</v>
      </c>
      <c r="BN201"/>
    </row>
    <row r="202" spans="5:66" x14ac:dyDescent="0.25">
      <c r="E202" s="35" t="s">
        <v>368</v>
      </c>
      <c r="G202" s="35" t="s">
        <v>1218</v>
      </c>
      <c r="BL202" s="35" t="s">
        <v>1779</v>
      </c>
      <c r="BN202"/>
    </row>
    <row r="203" spans="5:66" x14ac:dyDescent="0.25">
      <c r="E203" s="35" t="s">
        <v>369</v>
      </c>
      <c r="G203" s="35" t="s">
        <v>1988</v>
      </c>
      <c r="BL203" s="35" t="s">
        <v>1780</v>
      </c>
      <c r="BN203"/>
    </row>
    <row r="204" spans="5:66" x14ac:dyDescent="0.25">
      <c r="E204" s="35" t="s">
        <v>370</v>
      </c>
      <c r="G204" s="35" t="s">
        <v>1219</v>
      </c>
      <c r="BL204" s="35" t="s">
        <v>1781</v>
      </c>
      <c r="BN204"/>
    </row>
    <row r="205" spans="5:66" x14ac:dyDescent="0.25">
      <c r="E205" s="35" t="s">
        <v>371</v>
      </c>
      <c r="G205" s="35" t="s">
        <v>1220</v>
      </c>
      <c r="BL205" s="35" t="s">
        <v>1782</v>
      </c>
      <c r="BN205"/>
    </row>
    <row r="206" spans="5:66" x14ac:dyDescent="0.25">
      <c r="E206" s="35" t="s">
        <v>372</v>
      </c>
      <c r="G206" s="35" t="s">
        <v>1221</v>
      </c>
      <c r="BL206" s="35" t="s">
        <v>1783</v>
      </c>
      <c r="BN206"/>
    </row>
    <row r="207" spans="5:66" x14ac:dyDescent="0.25">
      <c r="E207" s="35" t="s">
        <v>670</v>
      </c>
      <c r="G207" s="35" t="s">
        <v>1989</v>
      </c>
      <c r="BL207" s="35" t="s">
        <v>1784</v>
      </c>
      <c r="BN207"/>
    </row>
    <row r="208" spans="5:66" x14ac:dyDescent="0.25">
      <c r="E208" s="35" t="s">
        <v>1580</v>
      </c>
      <c r="G208" s="35" t="s">
        <v>1222</v>
      </c>
      <c r="BL208" s="35" t="s">
        <v>1785</v>
      </c>
      <c r="BN208"/>
    </row>
    <row r="209" spans="5:66" x14ac:dyDescent="0.25">
      <c r="E209" s="35" t="s">
        <v>373</v>
      </c>
      <c r="G209" s="2" t="s">
        <v>1990</v>
      </c>
      <c r="BL209" s="35" t="s">
        <v>1786</v>
      </c>
      <c r="BN209"/>
    </row>
    <row r="210" spans="5:66" x14ac:dyDescent="0.25">
      <c r="E210" s="35" t="s">
        <v>374</v>
      </c>
      <c r="G210" s="35" t="s">
        <v>1991</v>
      </c>
      <c r="BL210" s="35" t="s">
        <v>1787</v>
      </c>
      <c r="BN210"/>
    </row>
    <row r="211" spans="5:66" x14ac:dyDescent="0.25">
      <c r="E211" s="35" t="s">
        <v>375</v>
      </c>
      <c r="G211" s="35" t="s">
        <v>87</v>
      </c>
    </row>
    <row r="212" spans="5:66" x14ac:dyDescent="0.25">
      <c r="E212" s="35" t="s">
        <v>376</v>
      </c>
      <c r="G212" s="35" t="s">
        <v>1223</v>
      </c>
    </row>
    <row r="213" spans="5:66" x14ac:dyDescent="0.25">
      <c r="E213" s="35" t="s">
        <v>377</v>
      </c>
      <c r="G213" s="35" t="s">
        <v>1224</v>
      </c>
    </row>
    <row r="214" spans="5:66" x14ac:dyDescent="0.25">
      <c r="E214" s="35" t="s">
        <v>378</v>
      </c>
      <c r="G214" s="35" t="s">
        <v>1225</v>
      </c>
    </row>
    <row r="215" spans="5:66" x14ac:dyDescent="0.25">
      <c r="E215" s="35" t="s">
        <v>379</v>
      </c>
      <c r="G215" s="35" t="s">
        <v>1992</v>
      </c>
    </row>
    <row r="216" spans="5:66" x14ac:dyDescent="0.25">
      <c r="E216" s="35" t="s">
        <v>380</v>
      </c>
      <c r="G216" s="35" t="s">
        <v>1226</v>
      </c>
    </row>
    <row r="217" spans="5:66" x14ac:dyDescent="0.25">
      <c r="E217" s="35" t="s">
        <v>381</v>
      </c>
      <c r="G217" s="35" t="s">
        <v>1227</v>
      </c>
    </row>
    <row r="218" spans="5:66" x14ac:dyDescent="0.25">
      <c r="E218" s="35" t="s">
        <v>382</v>
      </c>
      <c r="G218" s="35" t="s">
        <v>1228</v>
      </c>
    </row>
    <row r="219" spans="5:66" x14ac:dyDescent="0.25">
      <c r="E219" s="35" t="s">
        <v>383</v>
      </c>
      <c r="G219" s="35" t="s">
        <v>1229</v>
      </c>
    </row>
    <row r="220" spans="5:66" x14ac:dyDescent="0.25">
      <c r="E220" s="35" t="s">
        <v>1581</v>
      </c>
      <c r="G220" s="35" t="s">
        <v>1230</v>
      </c>
    </row>
    <row r="221" spans="5:66" x14ac:dyDescent="0.25">
      <c r="E221" s="35" t="s">
        <v>384</v>
      </c>
      <c r="G221" s="35" t="s">
        <v>1231</v>
      </c>
    </row>
    <row r="222" spans="5:66" x14ac:dyDescent="0.25">
      <c r="E222" s="35" t="s">
        <v>385</v>
      </c>
      <c r="G222" s="35" t="s">
        <v>1232</v>
      </c>
    </row>
    <row r="223" spans="5:66" x14ac:dyDescent="0.25">
      <c r="E223" s="35" t="s">
        <v>386</v>
      </c>
      <c r="G223" s="35" t="s">
        <v>1233</v>
      </c>
    </row>
    <row r="224" spans="5:66" x14ac:dyDescent="0.25">
      <c r="E224" s="35" t="s">
        <v>387</v>
      </c>
      <c r="G224" s="35" t="s">
        <v>1234</v>
      </c>
    </row>
    <row r="225" spans="5:7" x14ac:dyDescent="0.25">
      <c r="E225" s="35" t="s">
        <v>388</v>
      </c>
      <c r="G225" s="96" t="s">
        <v>1235</v>
      </c>
    </row>
    <row r="226" spans="5:7" x14ac:dyDescent="0.25">
      <c r="E226" s="35" t="s">
        <v>389</v>
      </c>
    </row>
    <row r="227" spans="5:7" x14ac:dyDescent="0.25">
      <c r="E227" s="35" t="s">
        <v>390</v>
      </c>
    </row>
    <row r="228" spans="5:7" x14ac:dyDescent="0.25">
      <c r="E228" s="35" t="s">
        <v>391</v>
      </c>
    </row>
    <row r="229" spans="5:7" x14ac:dyDescent="0.25">
      <c r="E229" s="35" t="s">
        <v>392</v>
      </c>
    </row>
    <row r="230" spans="5:7" x14ac:dyDescent="0.25">
      <c r="E230" s="35" t="s">
        <v>393</v>
      </c>
    </row>
    <row r="231" spans="5:7" x14ac:dyDescent="0.25">
      <c r="E231" s="35" t="s">
        <v>394</v>
      </c>
    </row>
    <row r="232" spans="5:7" x14ac:dyDescent="0.25">
      <c r="E232" s="35" t="s">
        <v>395</v>
      </c>
    </row>
    <row r="233" spans="5:7" x14ac:dyDescent="0.25">
      <c r="E233" s="35" t="s">
        <v>396</v>
      </c>
    </row>
    <row r="234" spans="5:7" x14ac:dyDescent="0.25">
      <c r="E234" s="35" t="s">
        <v>397</v>
      </c>
    </row>
    <row r="235" spans="5:7" x14ac:dyDescent="0.25">
      <c r="E235" s="35" t="s">
        <v>398</v>
      </c>
    </row>
    <row r="236" spans="5:7" x14ac:dyDescent="0.25">
      <c r="E236" s="35" t="s">
        <v>399</v>
      </c>
    </row>
    <row r="237" spans="5:7" x14ac:dyDescent="0.25">
      <c r="E237" s="35" t="s">
        <v>400</v>
      </c>
    </row>
    <row r="238" spans="5:7" x14ac:dyDescent="0.25">
      <c r="E238" s="35" t="s">
        <v>401</v>
      </c>
    </row>
    <row r="239" spans="5:7" x14ac:dyDescent="0.25">
      <c r="E239" s="35" t="s">
        <v>402</v>
      </c>
    </row>
    <row r="240" spans="5:7" x14ac:dyDescent="0.25">
      <c r="E240" s="35" t="s">
        <v>403</v>
      </c>
    </row>
    <row r="241" spans="5:5" x14ac:dyDescent="0.25">
      <c r="E241" s="35" t="s">
        <v>404</v>
      </c>
    </row>
    <row r="242" spans="5:5" x14ac:dyDescent="0.25">
      <c r="E242" s="35" t="s">
        <v>405</v>
      </c>
    </row>
    <row r="243" spans="5:5" x14ac:dyDescent="0.25">
      <c r="E243" s="35" t="s">
        <v>406</v>
      </c>
    </row>
    <row r="244" spans="5:5" x14ac:dyDescent="0.25">
      <c r="E244" s="35" t="s">
        <v>407</v>
      </c>
    </row>
    <row r="245" spans="5:5" x14ac:dyDescent="0.25">
      <c r="E245" s="35" t="s">
        <v>408</v>
      </c>
    </row>
    <row r="246" spans="5:5" x14ac:dyDescent="0.25">
      <c r="E246" s="35" t="s">
        <v>409</v>
      </c>
    </row>
    <row r="247" spans="5:5" x14ac:dyDescent="0.25">
      <c r="E247" s="35" t="s">
        <v>410</v>
      </c>
    </row>
    <row r="248" spans="5:5" x14ac:dyDescent="0.25">
      <c r="E248" s="35" t="s">
        <v>411</v>
      </c>
    </row>
    <row r="249" spans="5:5" x14ac:dyDescent="0.25">
      <c r="E249" s="35" t="s">
        <v>412</v>
      </c>
    </row>
    <row r="250" spans="5:5" x14ac:dyDescent="0.25">
      <c r="E250" s="35" t="s">
        <v>413</v>
      </c>
    </row>
    <row r="251" spans="5:5" x14ac:dyDescent="0.25">
      <c r="E251" s="35" t="s">
        <v>414</v>
      </c>
    </row>
    <row r="252" spans="5:5" x14ac:dyDescent="0.25">
      <c r="E252" s="45" t="s">
        <v>415</v>
      </c>
    </row>
  </sheetData>
  <conditionalFormatting sqref="G183">
    <cfRule type="duplicateValues" dxfId="1" priority="1"/>
  </conditionalFormatting>
  <conditionalFormatting sqref="G184:G207 G209:G225 G2:G182">
    <cfRule type="duplicateValues" dxfId="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38"/>
  <sheetViews>
    <sheetView workbookViewId="0">
      <selection activeCell="M1" sqref="M1"/>
    </sheetView>
  </sheetViews>
  <sheetFormatPr baseColWidth="10" defaultRowHeight="15" x14ac:dyDescent="0.25"/>
  <sheetData>
    <row r="1" spans="1:22" x14ac:dyDescent="0.25">
      <c r="A1" s="68" t="s">
        <v>172</v>
      </c>
      <c r="C1" s="3" t="s">
        <v>146</v>
      </c>
      <c r="D1" s="3" t="s">
        <v>147</v>
      </c>
      <c r="E1" s="3" t="s">
        <v>148</v>
      </c>
      <c r="F1" s="3" t="s">
        <v>149</v>
      </c>
      <c r="I1" s="25" t="s">
        <v>1296</v>
      </c>
      <c r="M1" s="25" t="s">
        <v>1399</v>
      </c>
      <c r="Q1" s="3" t="s">
        <v>1246</v>
      </c>
      <c r="U1" t="s">
        <v>1532</v>
      </c>
      <c r="V1" t="s">
        <v>1533</v>
      </c>
    </row>
    <row r="2" spans="1:22" x14ac:dyDescent="0.25">
      <c r="A2" s="69" t="s">
        <v>146</v>
      </c>
      <c r="C2" s="2" t="s">
        <v>151</v>
      </c>
      <c r="D2" s="2" t="s">
        <v>170</v>
      </c>
      <c r="E2" s="2" t="s">
        <v>152</v>
      </c>
      <c r="F2" s="2" t="s">
        <v>151</v>
      </c>
      <c r="I2" s="24" t="s">
        <v>146</v>
      </c>
      <c r="M2" s="24" t="s">
        <v>1402</v>
      </c>
      <c r="Q2" s="2" t="s">
        <v>148</v>
      </c>
      <c r="U2">
        <v>1</v>
      </c>
    </row>
    <row r="3" spans="1:22" x14ac:dyDescent="0.25">
      <c r="A3" s="69" t="s">
        <v>1236</v>
      </c>
      <c r="D3" s="1" t="s">
        <v>158</v>
      </c>
      <c r="E3" s="5" t="s">
        <v>153</v>
      </c>
      <c r="I3" s="24" t="s">
        <v>148</v>
      </c>
      <c r="M3" s="24" t="s">
        <v>1400</v>
      </c>
      <c r="Q3" s="2" t="s">
        <v>1247</v>
      </c>
      <c r="U3">
        <v>2</v>
      </c>
    </row>
    <row r="4" spans="1:22" x14ac:dyDescent="0.25">
      <c r="D4" s="2" t="s">
        <v>159</v>
      </c>
      <c r="E4" s="4" t="s">
        <v>154</v>
      </c>
      <c r="I4" s="24" t="s">
        <v>1247</v>
      </c>
      <c r="U4">
        <v>3</v>
      </c>
    </row>
    <row r="5" spans="1:22" x14ac:dyDescent="0.25">
      <c r="D5" s="2" t="s">
        <v>160</v>
      </c>
      <c r="E5" s="4" t="s">
        <v>155</v>
      </c>
      <c r="I5" s="116" t="s">
        <v>1236</v>
      </c>
      <c r="M5" s="25" t="s">
        <v>1401</v>
      </c>
      <c r="N5" s="25" t="s">
        <v>1400</v>
      </c>
      <c r="U5">
        <v>4</v>
      </c>
    </row>
    <row r="6" spans="1:22" x14ac:dyDescent="0.25">
      <c r="D6" s="2" t="s">
        <v>161</v>
      </c>
      <c r="E6" s="6" t="s">
        <v>156</v>
      </c>
      <c r="M6" s="1" t="s">
        <v>146</v>
      </c>
      <c r="N6" s="1" t="s">
        <v>148</v>
      </c>
      <c r="U6">
        <v>5</v>
      </c>
    </row>
    <row r="7" spans="1:22" x14ac:dyDescent="0.25">
      <c r="D7" s="2" t="s">
        <v>162</v>
      </c>
      <c r="E7" s="7"/>
      <c r="M7" s="2" t="s">
        <v>148</v>
      </c>
      <c r="N7" s="2" t="s">
        <v>1247</v>
      </c>
      <c r="Q7" s="2" t="s">
        <v>1247</v>
      </c>
      <c r="R7" s="62"/>
      <c r="S7" s="62"/>
      <c r="U7">
        <v>6</v>
      </c>
    </row>
    <row r="8" spans="1:22" x14ac:dyDescent="0.25">
      <c r="D8" s="2" t="s">
        <v>163</v>
      </c>
      <c r="M8" s="2" t="s">
        <v>1236</v>
      </c>
      <c r="N8" s="2"/>
      <c r="Q8" s="2"/>
      <c r="U8">
        <v>7</v>
      </c>
    </row>
    <row r="9" spans="1:22" x14ac:dyDescent="0.25">
      <c r="D9" s="2" t="s">
        <v>164</v>
      </c>
      <c r="M9" s="2"/>
      <c r="U9">
        <v>8</v>
      </c>
    </row>
    <row r="10" spans="1:22" x14ac:dyDescent="0.25">
      <c r="D10" s="2" t="s">
        <v>165</v>
      </c>
      <c r="U10">
        <v>9</v>
      </c>
    </row>
    <row r="11" spans="1:22" x14ac:dyDescent="0.25">
      <c r="D11" s="2" t="s">
        <v>166</v>
      </c>
      <c r="U11">
        <v>10</v>
      </c>
    </row>
    <row r="12" spans="1:22" x14ac:dyDescent="0.25">
      <c r="D12" s="2" t="s">
        <v>167</v>
      </c>
      <c r="U12">
        <v>11</v>
      </c>
    </row>
    <row r="13" spans="1:22" x14ac:dyDescent="0.25">
      <c r="D13" s="2" t="s">
        <v>168</v>
      </c>
      <c r="U13">
        <v>12</v>
      </c>
    </row>
    <row r="14" spans="1:22" x14ac:dyDescent="0.25">
      <c r="D14" s="2" t="s">
        <v>169</v>
      </c>
      <c r="U14">
        <v>13</v>
      </c>
    </row>
    <row r="19" spans="1:13" x14ac:dyDescent="0.25">
      <c r="A19" s="2" t="s">
        <v>157</v>
      </c>
      <c r="B19" s="2" t="s">
        <v>158</v>
      </c>
      <c r="C19" s="2" t="s">
        <v>159</v>
      </c>
      <c r="D19" s="2" t="s">
        <v>160</v>
      </c>
      <c r="E19" s="2" t="s">
        <v>161</v>
      </c>
      <c r="F19" s="2" t="s">
        <v>162</v>
      </c>
      <c r="G19" s="2" t="s">
        <v>163</v>
      </c>
      <c r="H19" s="2" t="s">
        <v>164</v>
      </c>
      <c r="I19" s="2" t="s">
        <v>165</v>
      </c>
      <c r="J19" s="2" t="s">
        <v>166</v>
      </c>
      <c r="K19" s="2" t="s">
        <v>167</v>
      </c>
      <c r="L19" s="2" t="s">
        <v>168</v>
      </c>
      <c r="M19" s="2" t="s">
        <v>169</v>
      </c>
    </row>
    <row r="20" spans="1:13" x14ac:dyDescent="0.25">
      <c r="A20" s="2" t="s">
        <v>147</v>
      </c>
      <c r="B20" s="2" t="s">
        <v>147</v>
      </c>
      <c r="C20" s="2" t="s">
        <v>147</v>
      </c>
      <c r="D20" s="2" t="s">
        <v>147</v>
      </c>
      <c r="E20" s="2" t="s">
        <v>147</v>
      </c>
      <c r="F20" s="2" t="s">
        <v>147</v>
      </c>
      <c r="G20" s="2" t="s">
        <v>147</v>
      </c>
      <c r="H20" s="2" t="s">
        <v>147</v>
      </c>
      <c r="I20" s="2" t="s">
        <v>147</v>
      </c>
      <c r="J20" s="2" t="s">
        <v>147</v>
      </c>
      <c r="K20" s="2" t="s">
        <v>147</v>
      </c>
      <c r="L20" s="2" t="s">
        <v>147</v>
      </c>
      <c r="M20" s="2" t="s">
        <v>147</v>
      </c>
    </row>
    <row r="22" spans="1:13" x14ac:dyDescent="0.25">
      <c r="A22" s="2" t="s">
        <v>151</v>
      </c>
    </row>
    <row r="23" spans="1:13" x14ac:dyDescent="0.25">
      <c r="A23" s="2" t="s">
        <v>151</v>
      </c>
    </row>
    <row r="25" spans="1:13" x14ac:dyDescent="0.25">
      <c r="A25" s="2" t="s">
        <v>152</v>
      </c>
      <c r="B25" s="2" t="s">
        <v>153</v>
      </c>
      <c r="C25" s="2" t="s">
        <v>154</v>
      </c>
      <c r="D25" s="2" t="s">
        <v>155</v>
      </c>
      <c r="E25" s="2" t="s">
        <v>156</v>
      </c>
      <c r="F25" s="2" t="s">
        <v>171</v>
      </c>
    </row>
    <row r="26" spans="1:13" x14ac:dyDescent="0.25">
      <c r="A26" s="2">
        <v>1</v>
      </c>
      <c r="B26" s="2">
        <v>1</v>
      </c>
      <c r="C26" s="2">
        <v>1</v>
      </c>
      <c r="D26" s="2">
        <v>1</v>
      </c>
      <c r="E26" s="2">
        <v>1</v>
      </c>
      <c r="F26" s="2">
        <v>1</v>
      </c>
    </row>
    <row r="27" spans="1:13" x14ac:dyDescent="0.25">
      <c r="A27" s="2">
        <v>2</v>
      </c>
      <c r="B27" s="2">
        <v>2</v>
      </c>
      <c r="C27" s="2">
        <v>2</v>
      </c>
      <c r="D27" s="2">
        <v>2</v>
      </c>
      <c r="E27" s="2">
        <v>2</v>
      </c>
      <c r="F27" s="2">
        <v>2</v>
      </c>
    </row>
    <row r="28" spans="1:13" x14ac:dyDescent="0.25">
      <c r="A28" s="2">
        <v>3</v>
      </c>
      <c r="B28" s="2">
        <v>3</v>
      </c>
      <c r="C28" s="2">
        <v>3</v>
      </c>
      <c r="D28" s="2">
        <v>3</v>
      </c>
      <c r="E28" s="2">
        <v>3</v>
      </c>
      <c r="F28" s="2">
        <v>3</v>
      </c>
    </row>
    <row r="29" spans="1:13" x14ac:dyDescent="0.25">
      <c r="A29" s="2">
        <v>4</v>
      </c>
      <c r="B29" s="2">
        <v>4</v>
      </c>
      <c r="C29" s="2">
        <v>4</v>
      </c>
      <c r="D29" s="2">
        <v>4</v>
      </c>
      <c r="E29" s="2">
        <v>4</v>
      </c>
      <c r="F29" s="2">
        <v>4</v>
      </c>
    </row>
    <row r="30" spans="1:13" x14ac:dyDescent="0.25">
      <c r="A30" s="2">
        <v>5</v>
      </c>
      <c r="B30" s="2">
        <v>5</v>
      </c>
      <c r="C30" s="2">
        <v>5</v>
      </c>
      <c r="D30" s="2">
        <v>5</v>
      </c>
      <c r="E30" s="2">
        <v>5</v>
      </c>
      <c r="F30" s="2">
        <v>5</v>
      </c>
    </row>
    <row r="31" spans="1:13" x14ac:dyDescent="0.25">
      <c r="A31" s="2">
        <v>6</v>
      </c>
      <c r="B31" s="2">
        <v>6</v>
      </c>
      <c r="C31" s="2">
        <v>6</v>
      </c>
      <c r="D31" s="2">
        <v>6</v>
      </c>
      <c r="E31" s="2">
        <v>6</v>
      </c>
      <c r="F31" s="2">
        <v>6</v>
      </c>
    </row>
    <row r="32" spans="1:13" x14ac:dyDescent="0.25">
      <c r="A32" s="2">
        <v>7</v>
      </c>
      <c r="B32" s="2">
        <v>7</v>
      </c>
      <c r="C32" s="2">
        <v>7</v>
      </c>
      <c r="D32" s="2">
        <v>7</v>
      </c>
      <c r="E32" s="2">
        <v>7</v>
      </c>
      <c r="F32" s="2">
        <v>7</v>
      </c>
    </row>
    <row r="33" spans="1:6" x14ac:dyDescent="0.25">
      <c r="A33" s="2">
        <v>8</v>
      </c>
      <c r="B33" s="2">
        <v>8</v>
      </c>
      <c r="C33" s="2">
        <v>8</v>
      </c>
      <c r="D33" s="2">
        <v>8</v>
      </c>
      <c r="E33" s="2">
        <v>8</v>
      </c>
      <c r="F33" s="2">
        <v>8</v>
      </c>
    </row>
    <row r="34" spans="1:6" x14ac:dyDescent="0.25">
      <c r="A34" s="2">
        <v>9</v>
      </c>
      <c r="B34" s="2">
        <v>9</v>
      </c>
      <c r="C34" s="2">
        <v>9</v>
      </c>
      <c r="D34" s="2">
        <v>9</v>
      </c>
      <c r="E34" s="2">
        <v>9</v>
      </c>
      <c r="F34" s="2">
        <v>9</v>
      </c>
    </row>
    <row r="35" spans="1:6" x14ac:dyDescent="0.25">
      <c r="A35" s="2">
        <v>10</v>
      </c>
      <c r="B35" s="2">
        <v>10</v>
      </c>
      <c r="C35" s="2">
        <v>10</v>
      </c>
      <c r="D35" s="2">
        <v>10</v>
      </c>
      <c r="E35" s="2">
        <v>10</v>
      </c>
      <c r="F35" s="2">
        <v>10</v>
      </c>
    </row>
    <row r="36" spans="1:6" x14ac:dyDescent="0.25">
      <c r="A36" s="2">
        <v>11</v>
      </c>
      <c r="B36" s="2">
        <v>11</v>
      </c>
      <c r="C36" s="2">
        <v>11</v>
      </c>
      <c r="D36" s="2">
        <v>11</v>
      </c>
      <c r="E36" s="2">
        <v>11</v>
      </c>
      <c r="F36" s="2">
        <v>11</v>
      </c>
    </row>
    <row r="37" spans="1:6" x14ac:dyDescent="0.25">
      <c r="A37" s="2">
        <v>12</v>
      </c>
      <c r="B37" s="2">
        <v>12</v>
      </c>
      <c r="C37" s="2">
        <v>12</v>
      </c>
      <c r="D37" s="2">
        <v>12</v>
      </c>
      <c r="E37" s="2">
        <v>12</v>
      </c>
      <c r="F37" s="2">
        <v>12</v>
      </c>
    </row>
    <row r="38" spans="1:6" x14ac:dyDescent="0.25">
      <c r="A38" s="2">
        <v>13</v>
      </c>
      <c r="B38" s="2">
        <v>13</v>
      </c>
      <c r="C38" s="2">
        <v>13</v>
      </c>
      <c r="D38" s="2">
        <v>13</v>
      </c>
      <c r="E38" s="2">
        <v>13</v>
      </c>
      <c r="F38" s="2">
        <v>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C7"/>
  <sheetViews>
    <sheetView workbookViewId="0">
      <selection activeCell="C6" sqref="C6"/>
    </sheetView>
  </sheetViews>
  <sheetFormatPr baseColWidth="10" defaultRowHeight="15" x14ac:dyDescent="0.25"/>
  <cols>
    <col min="1" max="1" width="24.42578125" customWidth="1"/>
    <col min="2" max="2" width="14.140625" customWidth="1"/>
    <col min="3" max="3" width="88.7109375" customWidth="1"/>
  </cols>
  <sheetData>
    <row r="1" spans="1:3" x14ac:dyDescent="0.25">
      <c r="A1" s="29" t="s">
        <v>1266</v>
      </c>
      <c r="B1" s="29" t="s">
        <v>1301</v>
      </c>
      <c r="C1" s="29" t="s">
        <v>1304</v>
      </c>
    </row>
    <row r="2" spans="1:3" ht="79.5" x14ac:dyDescent="0.25">
      <c r="A2" s="30" t="s">
        <v>1300</v>
      </c>
      <c r="B2" s="24" t="s">
        <v>1302</v>
      </c>
      <c r="C2" s="81" t="s">
        <v>1890</v>
      </c>
    </row>
    <row r="3" spans="1:3" ht="33.75" x14ac:dyDescent="0.25">
      <c r="A3" s="31" t="s">
        <v>1303</v>
      </c>
      <c r="B3" s="24"/>
      <c r="C3" s="82" t="s">
        <v>1572</v>
      </c>
    </row>
    <row r="4" spans="1:3" x14ac:dyDescent="0.25">
      <c r="A4" s="24" t="s">
        <v>1305</v>
      </c>
      <c r="B4" s="24"/>
      <c r="C4" s="81" t="s">
        <v>1573</v>
      </c>
    </row>
    <row r="5" spans="1:3" ht="23.25" x14ac:dyDescent="0.25">
      <c r="A5" s="24" t="s">
        <v>1306</v>
      </c>
      <c r="B5" s="24"/>
      <c r="C5" s="81" t="s">
        <v>1574</v>
      </c>
    </row>
    <row r="6" spans="1:3" ht="113.25" x14ac:dyDescent="0.25">
      <c r="A6" s="77" t="s">
        <v>1398</v>
      </c>
      <c r="B6" s="78"/>
      <c r="C6" s="80" t="s">
        <v>1913</v>
      </c>
    </row>
    <row r="7" spans="1:3" ht="34.5" x14ac:dyDescent="0.25">
      <c r="A7" s="79" t="s">
        <v>1575</v>
      </c>
      <c r="B7" s="2"/>
      <c r="C7" s="83" t="s">
        <v>1576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X42"/>
  <sheetViews>
    <sheetView topLeftCell="AH10" workbookViewId="0">
      <selection activeCell="AH19" sqref="AH19:AH25"/>
    </sheetView>
  </sheetViews>
  <sheetFormatPr baseColWidth="10" defaultRowHeight="15" x14ac:dyDescent="0.25"/>
  <cols>
    <col min="1" max="1" width="25.42578125" bestFit="1" customWidth="1"/>
    <col min="2" max="2" width="23.5703125" bestFit="1" customWidth="1"/>
    <col min="3" max="3" width="25" bestFit="1" customWidth="1"/>
    <col min="4" max="4" width="20.42578125" bestFit="1" customWidth="1"/>
    <col min="5" max="5" width="16.5703125" bestFit="1" customWidth="1"/>
    <col min="6" max="6" width="21.5703125" bestFit="1" customWidth="1"/>
    <col min="7" max="7" width="16.5703125" bestFit="1" customWidth="1"/>
    <col min="8" max="8" width="15.28515625" bestFit="1" customWidth="1"/>
    <col min="9" max="9" width="20.85546875" bestFit="1" customWidth="1"/>
    <col min="10" max="10" width="24.5703125" bestFit="1" customWidth="1"/>
    <col min="11" max="11" width="17.7109375" bestFit="1" customWidth="1"/>
    <col min="12" max="12" width="28.28515625" bestFit="1" customWidth="1"/>
    <col min="13" max="13" width="20" bestFit="1" customWidth="1"/>
    <col min="14" max="14" width="16.42578125" bestFit="1" customWidth="1"/>
    <col min="15" max="15" width="21.5703125" bestFit="1" customWidth="1"/>
    <col min="16" max="16" width="28.28515625" bestFit="1" customWidth="1"/>
    <col min="17" max="17" width="21.28515625" bestFit="1" customWidth="1"/>
    <col min="18" max="18" width="24.42578125" bestFit="1" customWidth="1"/>
    <col min="19" max="19" width="25.140625" bestFit="1" customWidth="1"/>
    <col min="20" max="20" width="17.42578125" bestFit="1" customWidth="1"/>
    <col min="21" max="21" width="18.5703125" bestFit="1" customWidth="1"/>
    <col min="22" max="22" width="19.28515625" bestFit="1" customWidth="1"/>
    <col min="23" max="23" width="21.42578125" bestFit="1" customWidth="1"/>
    <col min="24" max="24" width="22" bestFit="1" customWidth="1"/>
    <col min="25" max="25" width="18.5703125" bestFit="1" customWidth="1"/>
    <col min="26" max="26" width="21.7109375" bestFit="1" customWidth="1"/>
    <col min="27" max="28" width="18.85546875" bestFit="1" customWidth="1"/>
    <col min="29" max="29" width="30.7109375" bestFit="1" customWidth="1"/>
    <col min="30" max="30" width="16.5703125" bestFit="1" customWidth="1"/>
    <col min="31" max="31" width="20.28515625" bestFit="1" customWidth="1"/>
    <col min="32" max="32" width="19.5703125" bestFit="1" customWidth="1"/>
    <col min="33" max="33" width="14.42578125" bestFit="1" customWidth="1"/>
    <col min="34" max="34" width="16.28515625" bestFit="1" customWidth="1"/>
    <col min="35" max="35" width="15.28515625" bestFit="1" customWidth="1"/>
    <col min="36" max="36" width="21.42578125" bestFit="1" customWidth="1"/>
    <col min="37" max="37" width="18.140625" bestFit="1" customWidth="1"/>
    <col min="38" max="38" width="19.85546875" bestFit="1" customWidth="1"/>
    <col min="39" max="39" width="30.140625" bestFit="1" customWidth="1"/>
    <col min="40" max="40" width="20.140625" bestFit="1" customWidth="1"/>
    <col min="41" max="41" width="16.85546875" bestFit="1" customWidth="1"/>
    <col min="42" max="42" width="15.28515625" bestFit="1" customWidth="1"/>
    <col min="43" max="43" width="16.85546875" bestFit="1" customWidth="1"/>
    <col min="44" max="44" width="20.85546875" bestFit="1" customWidth="1"/>
    <col min="45" max="45" width="28.140625" bestFit="1" customWidth="1"/>
    <col min="46" max="46" width="17.85546875" bestFit="1" customWidth="1"/>
    <col min="47" max="47" width="23.5703125" bestFit="1" customWidth="1"/>
    <col min="48" max="48" width="20.42578125" bestFit="1" customWidth="1"/>
    <col min="49" max="49" width="17.28515625" bestFit="1" customWidth="1"/>
    <col min="52" max="52" width="17.28515625" bestFit="1" customWidth="1"/>
    <col min="54" max="54" width="20.140625" bestFit="1" customWidth="1"/>
    <col min="55" max="55" width="17.7109375" bestFit="1" customWidth="1"/>
    <col min="56" max="56" width="18" bestFit="1" customWidth="1"/>
    <col min="57" max="58" width="18.140625" bestFit="1" customWidth="1"/>
    <col min="59" max="59" width="20.5703125" bestFit="1" customWidth="1"/>
    <col min="60" max="60" width="34.7109375" bestFit="1" customWidth="1"/>
    <col min="61" max="61" width="15.28515625" bestFit="1" customWidth="1"/>
    <col min="62" max="62" width="22" bestFit="1" customWidth="1"/>
    <col min="63" max="63" width="23" bestFit="1" customWidth="1"/>
    <col min="64" max="64" width="18.5703125" bestFit="1" customWidth="1"/>
    <col min="65" max="65" width="21" bestFit="1" customWidth="1"/>
    <col min="66" max="66" width="16.42578125" bestFit="1" customWidth="1"/>
    <col min="67" max="67" width="19.7109375" bestFit="1" customWidth="1"/>
    <col min="68" max="68" width="26.7109375" bestFit="1" customWidth="1"/>
    <col min="69" max="69" width="10" bestFit="1" customWidth="1"/>
    <col min="70" max="70" width="21.42578125" bestFit="1" customWidth="1"/>
    <col min="71" max="71" width="15.85546875" bestFit="1" customWidth="1"/>
    <col min="72" max="72" width="26" bestFit="1" customWidth="1"/>
    <col min="73" max="73" width="18.42578125" bestFit="1" customWidth="1"/>
    <col min="74" max="74" width="20.28515625" bestFit="1" customWidth="1"/>
    <col min="75" max="75" width="23.140625" bestFit="1" customWidth="1"/>
    <col min="76" max="76" width="22.85546875" bestFit="1" customWidth="1"/>
  </cols>
  <sheetData>
    <row r="1" spans="1:15" x14ac:dyDescent="0.25">
      <c r="A1" s="1" t="s">
        <v>174</v>
      </c>
      <c r="C1" s="2" t="s">
        <v>420</v>
      </c>
      <c r="D1" s="2" t="s">
        <v>421</v>
      </c>
      <c r="E1" s="2" t="s">
        <v>422</v>
      </c>
      <c r="F1" s="2" t="s">
        <v>423</v>
      </c>
      <c r="G1" s="2" t="s">
        <v>424</v>
      </c>
      <c r="H1" s="2" t="s">
        <v>425</v>
      </c>
      <c r="I1" s="2" t="s">
        <v>426</v>
      </c>
      <c r="J1" s="2" t="s">
        <v>427</v>
      </c>
      <c r="K1" s="2" t="s">
        <v>428</v>
      </c>
      <c r="L1" s="2" t="s">
        <v>429</v>
      </c>
      <c r="M1" s="2" t="s">
        <v>430</v>
      </c>
      <c r="N1" s="2" t="s">
        <v>431</v>
      </c>
      <c r="O1" s="2" t="s">
        <v>432</v>
      </c>
    </row>
    <row r="2" spans="1:15" x14ac:dyDescent="0.25">
      <c r="A2" s="2" t="s">
        <v>420</v>
      </c>
      <c r="C2" s="9" t="s">
        <v>433</v>
      </c>
      <c r="D2" s="10" t="s">
        <v>436</v>
      </c>
      <c r="E2" s="11" t="s">
        <v>442</v>
      </c>
      <c r="F2" s="12" t="s">
        <v>447</v>
      </c>
      <c r="G2" s="13" t="s">
        <v>460</v>
      </c>
      <c r="H2" s="14" t="s">
        <v>462</v>
      </c>
      <c r="I2" s="15" t="s">
        <v>469</v>
      </c>
      <c r="J2" s="16" t="s">
        <v>476</v>
      </c>
      <c r="K2" s="17" t="s">
        <v>482</v>
      </c>
      <c r="L2" s="18" t="s">
        <v>487</v>
      </c>
      <c r="M2" s="2" t="s">
        <v>499</v>
      </c>
      <c r="N2" s="19" t="s">
        <v>500</v>
      </c>
      <c r="O2" s="20" t="s">
        <v>502</v>
      </c>
    </row>
    <row r="3" spans="1:15" x14ac:dyDescent="0.25">
      <c r="A3" s="2" t="s">
        <v>421</v>
      </c>
      <c r="C3" s="9" t="s">
        <v>434</v>
      </c>
      <c r="D3" s="10" t="s">
        <v>437</v>
      </c>
      <c r="E3" s="11" t="s">
        <v>443</v>
      </c>
      <c r="F3" s="12" t="s">
        <v>448</v>
      </c>
      <c r="G3" s="13" t="s">
        <v>461</v>
      </c>
      <c r="H3" s="14" t="s">
        <v>463</v>
      </c>
      <c r="I3" s="15" t="s">
        <v>470</v>
      </c>
      <c r="J3" s="16" t="s">
        <v>477</v>
      </c>
      <c r="K3" s="17" t="s">
        <v>483</v>
      </c>
      <c r="L3" s="18" t="s">
        <v>488</v>
      </c>
      <c r="N3" s="19" t="s">
        <v>501</v>
      </c>
      <c r="O3" s="20" t="s">
        <v>503</v>
      </c>
    </row>
    <row r="4" spans="1:15" x14ac:dyDescent="0.25">
      <c r="A4" s="2" t="s">
        <v>422</v>
      </c>
      <c r="C4" s="9" t="s">
        <v>435</v>
      </c>
      <c r="D4" s="10" t="s">
        <v>438</v>
      </c>
      <c r="E4" s="11" t="s">
        <v>444</v>
      </c>
      <c r="F4" s="12" t="s">
        <v>449</v>
      </c>
      <c r="H4" s="14" t="s">
        <v>464</v>
      </c>
      <c r="I4" s="15" t="s">
        <v>471</v>
      </c>
      <c r="J4" s="16" t="s">
        <v>478</v>
      </c>
      <c r="K4" s="17" t="s">
        <v>484</v>
      </c>
      <c r="L4" s="18" t="s">
        <v>489</v>
      </c>
      <c r="O4" s="20" t="s">
        <v>504</v>
      </c>
    </row>
    <row r="5" spans="1:15" x14ac:dyDescent="0.25">
      <c r="A5" s="2" t="s">
        <v>423</v>
      </c>
      <c r="D5" s="10" t="s">
        <v>439</v>
      </c>
      <c r="E5" s="11" t="s">
        <v>445</v>
      </c>
      <c r="F5" s="12" t="s">
        <v>450</v>
      </c>
      <c r="H5" s="14" t="s">
        <v>465</v>
      </c>
      <c r="I5" s="15" t="s">
        <v>472</v>
      </c>
      <c r="J5" s="16" t="s">
        <v>479</v>
      </c>
      <c r="K5" s="17" t="s">
        <v>485</v>
      </c>
      <c r="L5" s="18" t="s">
        <v>490</v>
      </c>
      <c r="O5" s="20" t="s">
        <v>505</v>
      </c>
    </row>
    <row r="6" spans="1:15" x14ac:dyDescent="0.25">
      <c r="A6" s="2" t="s">
        <v>424</v>
      </c>
      <c r="D6" s="10" t="s">
        <v>440</v>
      </c>
      <c r="E6" s="11" t="s">
        <v>446</v>
      </c>
      <c r="F6" s="12" t="s">
        <v>451</v>
      </c>
      <c r="H6" s="14" t="s">
        <v>466</v>
      </c>
      <c r="I6" s="15" t="s">
        <v>473</v>
      </c>
      <c r="J6" s="16" t="s">
        <v>480</v>
      </c>
      <c r="K6" s="17" t="s">
        <v>486</v>
      </c>
      <c r="L6" s="18" t="s">
        <v>491</v>
      </c>
      <c r="O6" s="20" t="s">
        <v>506</v>
      </c>
    </row>
    <row r="7" spans="1:15" x14ac:dyDescent="0.25">
      <c r="A7" s="2" t="s">
        <v>425</v>
      </c>
      <c r="D7" s="10" t="s">
        <v>441</v>
      </c>
      <c r="F7" s="12" t="s">
        <v>452</v>
      </c>
      <c r="H7" s="14" t="s">
        <v>467</v>
      </c>
      <c r="I7" s="15" t="s">
        <v>474</v>
      </c>
      <c r="J7" s="16" t="s">
        <v>481</v>
      </c>
      <c r="L7" s="18" t="s">
        <v>492</v>
      </c>
      <c r="O7" s="20" t="s">
        <v>507</v>
      </c>
    </row>
    <row r="8" spans="1:15" x14ac:dyDescent="0.25">
      <c r="A8" s="2" t="s">
        <v>426</v>
      </c>
      <c r="F8" s="12" t="s">
        <v>453</v>
      </c>
      <c r="H8" s="14" t="s">
        <v>468</v>
      </c>
      <c r="I8" s="15" t="s">
        <v>475</v>
      </c>
      <c r="L8" s="18" t="s">
        <v>493</v>
      </c>
      <c r="O8" s="20" t="s">
        <v>508</v>
      </c>
    </row>
    <row r="9" spans="1:15" x14ac:dyDescent="0.25">
      <c r="A9" s="2" t="s">
        <v>427</v>
      </c>
      <c r="F9" s="12" t="s">
        <v>454</v>
      </c>
      <c r="L9" s="18" t="s">
        <v>494</v>
      </c>
    </row>
    <row r="10" spans="1:15" x14ac:dyDescent="0.25">
      <c r="A10" s="2" t="s">
        <v>428</v>
      </c>
      <c r="F10" s="12" t="s">
        <v>455</v>
      </c>
      <c r="L10" s="18" t="s">
        <v>495</v>
      </c>
    </row>
    <row r="11" spans="1:15" x14ac:dyDescent="0.25">
      <c r="A11" s="2" t="s">
        <v>429</v>
      </c>
      <c r="F11" s="12" t="s">
        <v>456</v>
      </c>
      <c r="L11" s="18" t="s">
        <v>496</v>
      </c>
    </row>
    <row r="12" spans="1:15" x14ac:dyDescent="0.25">
      <c r="A12" s="2" t="s">
        <v>430</v>
      </c>
      <c r="F12" s="12" t="s">
        <v>457</v>
      </c>
      <c r="L12" s="18" t="s">
        <v>497</v>
      </c>
    </row>
    <row r="13" spans="1:15" x14ac:dyDescent="0.25">
      <c r="A13" s="2" t="s">
        <v>431</v>
      </c>
      <c r="F13" s="12" t="s">
        <v>458</v>
      </c>
      <c r="L13" s="18" t="s">
        <v>498</v>
      </c>
    </row>
    <row r="14" spans="1:15" x14ac:dyDescent="0.25">
      <c r="A14" s="2" t="s">
        <v>432</v>
      </c>
      <c r="F14" s="12" t="s">
        <v>459</v>
      </c>
    </row>
    <row r="18" spans="1:76" x14ac:dyDescent="0.25">
      <c r="A18" s="9" t="s">
        <v>433</v>
      </c>
      <c r="B18" s="9" t="s">
        <v>434</v>
      </c>
      <c r="C18" s="9" t="s">
        <v>435</v>
      </c>
      <c r="D18" s="10" t="s">
        <v>436</v>
      </c>
      <c r="E18" s="10" t="s">
        <v>437</v>
      </c>
      <c r="F18" s="10" t="s">
        <v>438</v>
      </c>
      <c r="G18" s="10" t="s">
        <v>439</v>
      </c>
      <c r="H18" s="10" t="s">
        <v>440</v>
      </c>
      <c r="I18" s="10" t="s">
        <v>441</v>
      </c>
      <c r="J18" s="11" t="s">
        <v>442</v>
      </c>
      <c r="K18" s="11" t="s">
        <v>443</v>
      </c>
      <c r="L18" s="11" t="s">
        <v>444</v>
      </c>
      <c r="M18" s="11" t="s">
        <v>445</v>
      </c>
      <c r="N18" s="11" t="s">
        <v>446</v>
      </c>
      <c r="O18" s="12" t="s">
        <v>447</v>
      </c>
      <c r="P18" s="12" t="s">
        <v>448</v>
      </c>
      <c r="Q18" s="12" t="s">
        <v>449</v>
      </c>
      <c r="R18" s="12" t="s">
        <v>450</v>
      </c>
      <c r="S18" s="12" t="s">
        <v>451</v>
      </c>
      <c r="T18" s="12" t="s">
        <v>452</v>
      </c>
      <c r="U18" s="12" t="s">
        <v>453</v>
      </c>
      <c r="V18" s="12" t="s">
        <v>454</v>
      </c>
      <c r="W18" s="12" t="s">
        <v>455</v>
      </c>
      <c r="X18" s="12" t="s">
        <v>456</v>
      </c>
      <c r="Y18" s="12" t="s">
        <v>457</v>
      </c>
      <c r="Z18" s="12" t="s">
        <v>458</v>
      </c>
      <c r="AA18" s="12" t="s">
        <v>459</v>
      </c>
      <c r="AB18" s="13" t="s">
        <v>460</v>
      </c>
      <c r="AC18" s="13" t="s">
        <v>461</v>
      </c>
      <c r="AD18" s="22" t="s">
        <v>462</v>
      </c>
      <c r="AE18" s="22" t="s">
        <v>463</v>
      </c>
      <c r="AF18" s="22" t="s">
        <v>464</v>
      </c>
      <c r="AG18" s="22" t="s">
        <v>465</v>
      </c>
      <c r="AH18" s="22" t="s">
        <v>466</v>
      </c>
      <c r="AI18" s="22" t="s">
        <v>467</v>
      </c>
      <c r="AJ18" s="22" t="s">
        <v>468</v>
      </c>
      <c r="AK18" s="15" t="s">
        <v>469</v>
      </c>
      <c r="AL18" s="15" t="s">
        <v>470</v>
      </c>
      <c r="AM18" s="15" t="s">
        <v>471</v>
      </c>
      <c r="AN18" s="15" t="s">
        <v>472</v>
      </c>
      <c r="AO18" s="15" t="s">
        <v>473</v>
      </c>
      <c r="AP18" s="15" t="s">
        <v>474</v>
      </c>
      <c r="AQ18" s="15" t="s">
        <v>475</v>
      </c>
      <c r="AR18" s="16" t="s">
        <v>476</v>
      </c>
      <c r="AS18" s="16" t="s">
        <v>477</v>
      </c>
      <c r="AT18" s="16" t="s">
        <v>478</v>
      </c>
      <c r="AU18" s="16" t="s">
        <v>479</v>
      </c>
      <c r="AV18" s="16" t="s">
        <v>480</v>
      </c>
      <c r="AW18" s="16" t="s">
        <v>481</v>
      </c>
      <c r="AX18" s="17" t="s">
        <v>482</v>
      </c>
      <c r="AY18" s="17" t="s">
        <v>483</v>
      </c>
      <c r="AZ18" s="17" t="s">
        <v>484</v>
      </c>
      <c r="BA18" s="17" t="s">
        <v>485</v>
      </c>
      <c r="BB18" s="17" t="s">
        <v>486</v>
      </c>
      <c r="BC18" s="18" t="s">
        <v>487</v>
      </c>
      <c r="BD18" s="18" t="s">
        <v>488</v>
      </c>
      <c r="BE18" s="18" t="s">
        <v>489</v>
      </c>
      <c r="BF18" s="18" t="s">
        <v>490</v>
      </c>
      <c r="BG18" s="18" t="s">
        <v>491</v>
      </c>
      <c r="BH18" s="18" t="s">
        <v>492</v>
      </c>
      <c r="BI18" s="18" t="s">
        <v>493</v>
      </c>
      <c r="BJ18" s="18" t="s">
        <v>494</v>
      </c>
      <c r="BK18" s="18" t="s">
        <v>495</v>
      </c>
      <c r="BL18" s="18" t="s">
        <v>496</v>
      </c>
      <c r="BM18" s="18" t="s">
        <v>497</v>
      </c>
      <c r="BN18" s="18" t="s">
        <v>498</v>
      </c>
      <c r="BO18" s="2" t="s">
        <v>499</v>
      </c>
      <c r="BP18" s="19" t="s">
        <v>500</v>
      </c>
      <c r="BQ18" s="19" t="s">
        <v>501</v>
      </c>
      <c r="BR18" s="20" t="s">
        <v>502</v>
      </c>
      <c r="BS18" s="20" t="s">
        <v>503</v>
      </c>
      <c r="BT18" s="20" t="s">
        <v>504</v>
      </c>
      <c r="BU18" s="20" t="s">
        <v>505</v>
      </c>
      <c r="BV18" s="20" t="s">
        <v>506</v>
      </c>
      <c r="BW18" s="20" t="s">
        <v>507</v>
      </c>
      <c r="BX18" s="20" t="s">
        <v>508</v>
      </c>
    </row>
    <row r="19" spans="1:76" x14ac:dyDescent="0.25">
      <c r="A19" s="21" t="s">
        <v>509</v>
      </c>
      <c r="B19" s="21" t="s">
        <v>510</v>
      </c>
      <c r="C19" t="s">
        <v>511</v>
      </c>
      <c r="D19" t="s">
        <v>532</v>
      </c>
      <c r="E19" t="s">
        <v>533</v>
      </c>
      <c r="F19" s="21" t="s">
        <v>534</v>
      </c>
      <c r="G19" s="21" t="s">
        <v>535</v>
      </c>
      <c r="H19" s="21" t="s">
        <v>536</v>
      </c>
      <c r="I19" t="s">
        <v>537</v>
      </c>
      <c r="J19" t="s">
        <v>575</v>
      </c>
      <c r="K19" t="s">
        <v>576</v>
      </c>
      <c r="L19" t="s">
        <v>577</v>
      </c>
      <c r="M19" t="s">
        <v>578</v>
      </c>
      <c r="N19" t="s">
        <v>579</v>
      </c>
      <c r="O19" t="s">
        <v>613</v>
      </c>
      <c r="P19" s="21" t="s">
        <v>614</v>
      </c>
      <c r="Q19" s="21" t="s">
        <v>615</v>
      </c>
      <c r="R19" s="21" t="s">
        <v>616</v>
      </c>
      <c r="S19" s="21" t="s">
        <v>617</v>
      </c>
      <c r="T19" s="21" t="s">
        <v>618</v>
      </c>
      <c r="U19" s="21" t="s">
        <v>619</v>
      </c>
      <c r="V19" s="21" t="s">
        <v>620</v>
      </c>
      <c r="W19" s="21" t="s">
        <v>621</v>
      </c>
      <c r="X19" s="21" t="s">
        <v>622</v>
      </c>
      <c r="Y19" t="s">
        <v>623</v>
      </c>
      <c r="Z19" t="s">
        <v>624</v>
      </c>
      <c r="AA19" t="s">
        <v>625</v>
      </c>
      <c r="AB19" t="s">
        <v>701</v>
      </c>
      <c r="AC19" t="s">
        <v>702</v>
      </c>
      <c r="AD19" t="s">
        <v>724</v>
      </c>
      <c r="AE19" t="s">
        <v>477</v>
      </c>
      <c r="AF19" t="s">
        <v>725</v>
      </c>
      <c r="AG19" t="s">
        <v>726</v>
      </c>
      <c r="AH19" t="s">
        <v>545</v>
      </c>
      <c r="AI19" t="s">
        <v>727</v>
      </c>
      <c r="AJ19" t="s">
        <v>728</v>
      </c>
      <c r="AK19" t="s">
        <v>769</v>
      </c>
      <c r="AL19" t="s">
        <v>770</v>
      </c>
      <c r="AM19" t="s">
        <v>771</v>
      </c>
      <c r="AN19" t="s">
        <v>772</v>
      </c>
      <c r="AO19" t="s">
        <v>773</v>
      </c>
      <c r="AP19" t="s">
        <v>774</v>
      </c>
      <c r="AQ19" t="s">
        <v>775</v>
      </c>
      <c r="AR19" t="s">
        <v>841</v>
      </c>
      <c r="AS19" t="s">
        <v>842</v>
      </c>
      <c r="AT19" t="s">
        <v>843</v>
      </c>
      <c r="AU19" t="s">
        <v>844</v>
      </c>
      <c r="AV19" t="s">
        <v>845</v>
      </c>
      <c r="AW19" t="s">
        <v>846</v>
      </c>
      <c r="AX19" t="s">
        <v>890</v>
      </c>
      <c r="AY19" t="s">
        <v>891</v>
      </c>
      <c r="AZ19" t="s">
        <v>892</v>
      </c>
      <c r="BA19" t="s">
        <v>893</v>
      </c>
      <c r="BB19" t="s">
        <v>894</v>
      </c>
      <c r="BC19" t="s">
        <v>940</v>
      </c>
      <c r="BD19" t="s">
        <v>941</v>
      </c>
      <c r="BE19" t="s">
        <v>942</v>
      </c>
      <c r="BF19" t="s">
        <v>943</v>
      </c>
      <c r="BG19" t="s">
        <v>944</v>
      </c>
      <c r="BH19" t="s">
        <v>945</v>
      </c>
      <c r="BI19" t="s">
        <v>946</v>
      </c>
      <c r="BJ19" t="s">
        <v>947</v>
      </c>
      <c r="BK19" t="s">
        <v>948</v>
      </c>
      <c r="BL19" t="s">
        <v>949</v>
      </c>
      <c r="BM19" t="s">
        <v>950</v>
      </c>
      <c r="BN19" t="s">
        <v>772</v>
      </c>
      <c r="BO19" t="s">
        <v>1016</v>
      </c>
      <c r="BP19" t="s">
        <v>1020</v>
      </c>
      <c r="BQ19" t="s">
        <v>1021</v>
      </c>
      <c r="BR19" t="s">
        <v>1025</v>
      </c>
      <c r="BS19" t="s">
        <v>1026</v>
      </c>
      <c r="BT19" t="s">
        <v>1027</v>
      </c>
      <c r="BU19" t="s">
        <v>1028</v>
      </c>
      <c r="BV19" t="s">
        <v>1029</v>
      </c>
      <c r="BW19" t="s">
        <v>1030</v>
      </c>
      <c r="BX19" t="s">
        <v>1031</v>
      </c>
    </row>
    <row r="20" spans="1:76" x14ac:dyDescent="0.25">
      <c r="A20" s="21" t="s">
        <v>512</v>
      </c>
      <c r="B20" s="21" t="s">
        <v>513</v>
      </c>
      <c r="C20" t="s">
        <v>514</v>
      </c>
      <c r="D20" t="s">
        <v>538</v>
      </c>
      <c r="E20" t="s">
        <v>539</v>
      </c>
      <c r="F20" s="21" t="s">
        <v>540</v>
      </c>
      <c r="G20" s="21" t="s">
        <v>541</v>
      </c>
      <c r="H20" s="21" t="s">
        <v>542</v>
      </c>
      <c r="I20" t="s">
        <v>543</v>
      </c>
      <c r="J20" t="s">
        <v>580</v>
      </c>
      <c r="K20" t="s">
        <v>581</v>
      </c>
      <c r="L20" t="s">
        <v>582</v>
      </c>
      <c r="M20" t="s">
        <v>583</v>
      </c>
      <c r="N20" t="s">
        <v>517</v>
      </c>
      <c r="O20" t="s">
        <v>626</v>
      </c>
      <c r="P20" s="21" t="s">
        <v>627</v>
      </c>
      <c r="Q20" s="21" t="s">
        <v>628</v>
      </c>
      <c r="R20" s="21" t="s">
        <v>629</v>
      </c>
      <c r="S20" s="21" t="s">
        <v>630</v>
      </c>
      <c r="T20" s="21" t="s">
        <v>423</v>
      </c>
      <c r="U20" s="21" t="s">
        <v>631</v>
      </c>
      <c r="V20" s="21" t="s">
        <v>632</v>
      </c>
      <c r="W20" s="21" t="s">
        <v>633</v>
      </c>
      <c r="X20" s="21" t="s">
        <v>634</v>
      </c>
      <c r="Y20" t="s">
        <v>635</v>
      </c>
      <c r="Z20" t="s">
        <v>636</v>
      </c>
      <c r="AA20" t="s">
        <v>637</v>
      </c>
      <c r="AB20" t="s">
        <v>703</v>
      </c>
      <c r="AC20" t="s">
        <v>704</v>
      </c>
      <c r="AD20" t="s">
        <v>729</v>
      </c>
      <c r="AE20" t="s">
        <v>730</v>
      </c>
      <c r="AF20" t="s">
        <v>731</v>
      </c>
      <c r="AG20" t="s">
        <v>732</v>
      </c>
      <c r="AH20" t="s">
        <v>733</v>
      </c>
      <c r="AI20" t="s">
        <v>734</v>
      </c>
      <c r="AJ20" t="s">
        <v>735</v>
      </c>
      <c r="AK20" t="s">
        <v>776</v>
      </c>
      <c r="AL20" t="s">
        <v>777</v>
      </c>
      <c r="AM20" t="s">
        <v>582</v>
      </c>
      <c r="AN20" t="s">
        <v>778</v>
      </c>
      <c r="AO20" t="s">
        <v>779</v>
      </c>
      <c r="AP20" t="s">
        <v>780</v>
      </c>
      <c r="AQ20" t="s">
        <v>781</v>
      </c>
      <c r="AR20" t="s">
        <v>847</v>
      </c>
      <c r="AS20" t="s">
        <v>848</v>
      </c>
      <c r="AT20" t="s">
        <v>849</v>
      </c>
      <c r="AU20" t="s">
        <v>850</v>
      </c>
      <c r="AV20" t="s">
        <v>851</v>
      </c>
      <c r="AW20" t="s">
        <v>852</v>
      </c>
      <c r="AX20" t="s">
        <v>895</v>
      </c>
      <c r="AY20" t="s">
        <v>896</v>
      </c>
      <c r="AZ20" t="s">
        <v>897</v>
      </c>
      <c r="BA20" t="s">
        <v>898</v>
      </c>
      <c r="BB20" t="s">
        <v>899</v>
      </c>
      <c r="BC20" t="s">
        <v>951</v>
      </c>
      <c r="BD20" t="s">
        <v>952</v>
      </c>
      <c r="BE20" t="s">
        <v>953</v>
      </c>
      <c r="BF20" t="s">
        <v>954</v>
      </c>
      <c r="BG20" t="s">
        <v>791</v>
      </c>
      <c r="BH20" t="s">
        <v>800</v>
      </c>
      <c r="BI20" t="s">
        <v>955</v>
      </c>
      <c r="BJ20" t="s">
        <v>552</v>
      </c>
      <c r="BK20" t="s">
        <v>956</v>
      </c>
      <c r="BL20" t="s">
        <v>957</v>
      </c>
      <c r="BM20" t="s">
        <v>958</v>
      </c>
      <c r="BN20" t="s">
        <v>959</v>
      </c>
      <c r="BO20" t="s">
        <v>1017</v>
      </c>
      <c r="BP20" t="s">
        <v>1022</v>
      </c>
      <c r="BQ20" t="s">
        <v>1023</v>
      </c>
      <c r="BR20" t="s">
        <v>1032</v>
      </c>
      <c r="BS20" t="s">
        <v>1033</v>
      </c>
      <c r="BT20" t="s">
        <v>1034</v>
      </c>
      <c r="BU20" t="s">
        <v>1035</v>
      </c>
      <c r="BV20" t="s">
        <v>1036</v>
      </c>
      <c r="BW20" t="s">
        <v>1037</v>
      </c>
      <c r="BX20" t="s">
        <v>1038</v>
      </c>
    </row>
    <row r="21" spans="1:76" x14ac:dyDescent="0.25">
      <c r="A21" s="21" t="s">
        <v>515</v>
      </c>
      <c r="B21" s="21" t="s">
        <v>516</v>
      </c>
      <c r="C21" t="s">
        <v>517</v>
      </c>
      <c r="D21" t="s">
        <v>544</v>
      </c>
      <c r="E21" t="s">
        <v>545</v>
      </c>
      <c r="F21" s="21" t="s">
        <v>546</v>
      </c>
      <c r="G21" s="21" t="s">
        <v>547</v>
      </c>
      <c r="H21" s="21" t="s">
        <v>548</v>
      </c>
      <c r="I21" t="s">
        <v>421</v>
      </c>
      <c r="J21" t="s">
        <v>584</v>
      </c>
      <c r="K21" t="s">
        <v>585</v>
      </c>
      <c r="L21" t="s">
        <v>586</v>
      </c>
      <c r="M21" t="s">
        <v>587</v>
      </c>
      <c r="N21" t="s">
        <v>588</v>
      </c>
      <c r="O21" t="s">
        <v>638</v>
      </c>
      <c r="P21" s="21" t="s">
        <v>639</v>
      </c>
      <c r="Q21" s="21" t="s">
        <v>640</v>
      </c>
      <c r="R21" s="21" t="s">
        <v>641</v>
      </c>
      <c r="S21" s="21" t="s">
        <v>642</v>
      </c>
      <c r="T21" s="21" t="s">
        <v>643</v>
      </c>
      <c r="U21" s="21" t="s">
        <v>644</v>
      </c>
      <c r="V21" s="21" t="s">
        <v>645</v>
      </c>
      <c r="W21" s="21" t="s">
        <v>646</v>
      </c>
      <c r="X21" s="21" t="s">
        <v>647</v>
      </c>
      <c r="Y21" t="s">
        <v>648</v>
      </c>
      <c r="Z21" t="s">
        <v>649</v>
      </c>
      <c r="AA21" t="s">
        <v>544</v>
      </c>
      <c r="AB21" t="s">
        <v>460</v>
      </c>
      <c r="AC21" t="s">
        <v>705</v>
      </c>
      <c r="AD21" t="s">
        <v>736</v>
      </c>
      <c r="AE21" t="s">
        <v>737</v>
      </c>
      <c r="AF21" t="s">
        <v>738</v>
      </c>
      <c r="AG21" t="s">
        <v>557</v>
      </c>
      <c r="AH21" t="s">
        <v>739</v>
      </c>
      <c r="AI21" t="s">
        <v>740</v>
      </c>
      <c r="AJ21" t="s">
        <v>741</v>
      </c>
      <c r="AK21" t="s">
        <v>782</v>
      </c>
      <c r="AL21" t="s">
        <v>783</v>
      </c>
      <c r="AM21" t="s">
        <v>784</v>
      </c>
      <c r="AN21" t="s">
        <v>785</v>
      </c>
      <c r="AO21" t="s">
        <v>786</v>
      </c>
      <c r="AP21" t="s">
        <v>676</v>
      </c>
      <c r="AQ21" t="s">
        <v>787</v>
      </c>
      <c r="AR21" t="s">
        <v>853</v>
      </c>
      <c r="AS21" t="s">
        <v>854</v>
      </c>
      <c r="AT21" t="s">
        <v>855</v>
      </c>
      <c r="AU21" t="s">
        <v>856</v>
      </c>
      <c r="AV21" t="s">
        <v>857</v>
      </c>
      <c r="AW21" t="s">
        <v>481</v>
      </c>
      <c r="AX21" t="s">
        <v>900</v>
      </c>
      <c r="AY21" t="s">
        <v>901</v>
      </c>
      <c r="AZ21" t="s">
        <v>545</v>
      </c>
      <c r="BA21" t="s">
        <v>902</v>
      </c>
      <c r="BB21" t="s">
        <v>903</v>
      </c>
      <c r="BC21" t="s">
        <v>960</v>
      </c>
      <c r="BD21" t="s">
        <v>961</v>
      </c>
      <c r="BE21" t="s">
        <v>962</v>
      </c>
      <c r="BF21" t="s">
        <v>963</v>
      </c>
      <c r="BG21" t="s">
        <v>964</v>
      </c>
      <c r="BH21" t="s">
        <v>965</v>
      </c>
      <c r="BI21" t="s">
        <v>966</v>
      </c>
      <c r="BJ21" t="s">
        <v>739</v>
      </c>
      <c r="BK21" t="s">
        <v>967</v>
      </c>
      <c r="BL21" t="s">
        <v>968</v>
      </c>
      <c r="BM21" t="s">
        <v>969</v>
      </c>
      <c r="BN21" t="s">
        <v>970</v>
      </c>
      <c r="BO21" t="s">
        <v>1018</v>
      </c>
      <c r="BP21" t="s">
        <v>1024</v>
      </c>
      <c r="BQ21" t="s">
        <v>564</v>
      </c>
      <c r="BR21" t="s">
        <v>1039</v>
      </c>
      <c r="BS21" t="s">
        <v>1040</v>
      </c>
      <c r="BT21" t="s">
        <v>1041</v>
      </c>
      <c r="BU21" t="s">
        <v>1042</v>
      </c>
      <c r="BV21" t="s">
        <v>1043</v>
      </c>
      <c r="BW21" t="s">
        <v>1044</v>
      </c>
      <c r="BX21" t="s">
        <v>1045</v>
      </c>
    </row>
    <row r="22" spans="1:76" x14ac:dyDescent="0.25">
      <c r="A22" s="21" t="s">
        <v>518</v>
      </c>
      <c r="B22" s="21" t="s">
        <v>519</v>
      </c>
      <c r="C22" t="s">
        <v>520</v>
      </c>
      <c r="D22" t="s">
        <v>549</v>
      </c>
      <c r="E22" t="s">
        <v>550</v>
      </c>
      <c r="F22" s="21" t="s">
        <v>551</v>
      </c>
      <c r="G22" s="21" t="s">
        <v>552</v>
      </c>
      <c r="H22" s="21" t="s">
        <v>553</v>
      </c>
      <c r="I22" t="s">
        <v>554</v>
      </c>
      <c r="J22" t="s">
        <v>589</v>
      </c>
      <c r="K22" t="s">
        <v>590</v>
      </c>
      <c r="L22" t="s">
        <v>591</v>
      </c>
      <c r="M22" t="s">
        <v>592</v>
      </c>
      <c r="N22" t="s">
        <v>593</v>
      </c>
      <c r="O22" t="s">
        <v>650</v>
      </c>
      <c r="P22" s="21" t="s">
        <v>651</v>
      </c>
      <c r="Q22" s="21" t="s">
        <v>652</v>
      </c>
      <c r="R22" s="21" t="s">
        <v>653</v>
      </c>
      <c r="S22" s="21" t="s">
        <v>654</v>
      </c>
      <c r="T22" s="21" t="s">
        <v>655</v>
      </c>
      <c r="U22" s="21" t="s">
        <v>656</v>
      </c>
      <c r="V22" s="21" t="s">
        <v>657</v>
      </c>
      <c r="W22" s="21" t="s">
        <v>658</v>
      </c>
      <c r="X22" s="21" t="s">
        <v>659</v>
      </c>
      <c r="Y22" t="s">
        <v>660</v>
      </c>
      <c r="Z22" t="s">
        <v>611</v>
      </c>
      <c r="AA22" t="s">
        <v>661</v>
      </c>
      <c r="AB22" t="s">
        <v>706</v>
      </c>
      <c r="AC22" t="s">
        <v>707</v>
      </c>
      <c r="AD22" t="s">
        <v>742</v>
      </c>
      <c r="AE22" t="s">
        <v>743</v>
      </c>
      <c r="AF22" t="s">
        <v>729</v>
      </c>
      <c r="AG22" t="s">
        <v>744</v>
      </c>
      <c r="AH22" t="s">
        <v>745</v>
      </c>
      <c r="AI22" t="s">
        <v>746</v>
      </c>
      <c r="AJ22" t="s">
        <v>747</v>
      </c>
      <c r="AK22" t="s">
        <v>788</v>
      </c>
      <c r="AL22" t="s">
        <v>789</v>
      </c>
      <c r="AM22" t="s">
        <v>790</v>
      </c>
      <c r="AN22" t="s">
        <v>791</v>
      </c>
      <c r="AO22" t="s">
        <v>792</v>
      </c>
      <c r="AP22" t="s">
        <v>793</v>
      </c>
      <c r="AQ22" t="s">
        <v>794</v>
      </c>
      <c r="AR22" t="s">
        <v>858</v>
      </c>
      <c r="AS22" t="s">
        <v>859</v>
      </c>
      <c r="AT22" t="s">
        <v>860</v>
      </c>
      <c r="AU22" t="s">
        <v>625</v>
      </c>
      <c r="AV22" t="s">
        <v>861</v>
      </c>
      <c r="AW22" t="s">
        <v>564</v>
      </c>
      <c r="AX22" t="s">
        <v>904</v>
      </c>
      <c r="AY22" t="s">
        <v>905</v>
      </c>
      <c r="AZ22" t="s">
        <v>906</v>
      </c>
      <c r="BA22" t="s">
        <v>907</v>
      </c>
      <c r="BB22" t="s">
        <v>908</v>
      </c>
      <c r="BC22" t="s">
        <v>971</v>
      </c>
      <c r="BD22" t="s">
        <v>972</v>
      </c>
      <c r="BE22" t="s">
        <v>973</v>
      </c>
      <c r="BF22" t="s">
        <v>557</v>
      </c>
      <c r="BG22" t="s">
        <v>974</v>
      </c>
      <c r="BH22" t="s">
        <v>975</v>
      </c>
      <c r="BI22" t="s">
        <v>976</v>
      </c>
      <c r="BJ22" t="s">
        <v>977</v>
      </c>
      <c r="BK22" t="s">
        <v>978</v>
      </c>
      <c r="BL22" t="s">
        <v>979</v>
      </c>
      <c r="BM22" t="s">
        <v>784</v>
      </c>
      <c r="BN22" t="s">
        <v>980</v>
      </c>
      <c r="BO22" t="s">
        <v>1019</v>
      </c>
      <c r="BR22" t="s">
        <v>1046</v>
      </c>
      <c r="BS22" t="s">
        <v>1047</v>
      </c>
      <c r="BT22" t="s">
        <v>1048</v>
      </c>
      <c r="BU22" t="s">
        <v>1049</v>
      </c>
      <c r="BV22" t="s">
        <v>1050</v>
      </c>
      <c r="BW22" t="s">
        <v>1051</v>
      </c>
      <c r="BX22" t="s">
        <v>1052</v>
      </c>
    </row>
    <row r="23" spans="1:76" x14ac:dyDescent="0.25">
      <c r="A23" s="21" t="s">
        <v>521</v>
      </c>
      <c r="B23" s="21" t="s">
        <v>522</v>
      </c>
      <c r="C23" t="s">
        <v>523</v>
      </c>
      <c r="D23" t="s">
        <v>555</v>
      </c>
      <c r="E23" t="s">
        <v>556</v>
      </c>
      <c r="F23" s="21" t="s">
        <v>557</v>
      </c>
      <c r="G23" s="21" t="s">
        <v>558</v>
      </c>
      <c r="H23" s="21" t="s">
        <v>559</v>
      </c>
      <c r="I23" t="s">
        <v>560</v>
      </c>
      <c r="J23" t="s">
        <v>594</v>
      </c>
      <c r="K23" t="s">
        <v>595</v>
      </c>
      <c r="L23" t="s">
        <v>570</v>
      </c>
      <c r="M23" t="s">
        <v>596</v>
      </c>
      <c r="N23" t="s">
        <v>597</v>
      </c>
      <c r="O23" t="s">
        <v>662</v>
      </c>
      <c r="P23" s="21" t="s">
        <v>663</v>
      </c>
      <c r="Q23" s="21" t="s">
        <v>664</v>
      </c>
      <c r="R23" s="21" t="s">
        <v>665</v>
      </c>
      <c r="S23" s="21" t="s">
        <v>666</v>
      </c>
      <c r="T23" s="21" t="s">
        <v>667</v>
      </c>
      <c r="U23" s="21" t="s">
        <v>668</v>
      </c>
      <c r="V23" s="21" t="s">
        <v>669</v>
      </c>
      <c r="W23" s="21" t="s">
        <v>670</v>
      </c>
      <c r="X23" s="21" t="s">
        <v>671</v>
      </c>
      <c r="Y23" t="s">
        <v>672</v>
      </c>
      <c r="Z23" t="s">
        <v>673</v>
      </c>
      <c r="AA23" t="s">
        <v>674</v>
      </c>
      <c r="AB23" t="s">
        <v>708</v>
      </c>
      <c r="AC23" t="s">
        <v>709</v>
      </c>
      <c r="AD23" t="s">
        <v>748</v>
      </c>
      <c r="AE23" t="s">
        <v>749</v>
      </c>
      <c r="AF23" t="s">
        <v>750</v>
      </c>
      <c r="AG23" t="s">
        <v>751</v>
      </c>
      <c r="AH23" t="s">
        <v>752</v>
      </c>
      <c r="AI23" t="s">
        <v>753</v>
      </c>
      <c r="AJ23" t="s">
        <v>754</v>
      </c>
      <c r="AK23" t="s">
        <v>795</v>
      </c>
      <c r="AL23" t="s">
        <v>796</v>
      </c>
      <c r="AM23" t="s">
        <v>797</v>
      </c>
      <c r="AN23" t="s">
        <v>738</v>
      </c>
      <c r="AO23" t="s">
        <v>798</v>
      </c>
      <c r="AP23" t="s">
        <v>799</v>
      </c>
      <c r="AQ23" t="s">
        <v>800</v>
      </c>
      <c r="AR23" t="s">
        <v>862</v>
      </c>
      <c r="AS23" t="s">
        <v>863</v>
      </c>
      <c r="AT23" t="s">
        <v>864</v>
      </c>
      <c r="AU23" t="s">
        <v>865</v>
      </c>
      <c r="AV23" t="s">
        <v>866</v>
      </c>
      <c r="AW23" t="s">
        <v>564</v>
      </c>
      <c r="AX23" t="s">
        <v>909</v>
      </c>
      <c r="AY23" t="s">
        <v>910</v>
      </c>
      <c r="AZ23" t="s">
        <v>911</v>
      </c>
      <c r="BA23" t="s">
        <v>912</v>
      </c>
      <c r="BB23" t="s">
        <v>913</v>
      </c>
      <c r="BC23" t="s">
        <v>981</v>
      </c>
      <c r="BD23" t="s">
        <v>540</v>
      </c>
      <c r="BE23" t="s">
        <v>803</v>
      </c>
      <c r="BF23" t="s">
        <v>982</v>
      </c>
      <c r="BG23" t="s">
        <v>741</v>
      </c>
      <c r="BH23" t="s">
        <v>983</v>
      </c>
      <c r="BI23" t="s">
        <v>749</v>
      </c>
      <c r="BJ23" t="s">
        <v>984</v>
      </c>
      <c r="BK23" t="s">
        <v>836</v>
      </c>
      <c r="BL23" t="s">
        <v>985</v>
      </c>
      <c r="BM23" t="s">
        <v>986</v>
      </c>
      <c r="BN23" t="s">
        <v>662</v>
      </c>
      <c r="BR23" t="s">
        <v>1053</v>
      </c>
      <c r="BS23" t="s">
        <v>503</v>
      </c>
      <c r="BT23" t="s">
        <v>1054</v>
      </c>
      <c r="BU23" t="s">
        <v>1055</v>
      </c>
      <c r="BV23" t="s">
        <v>1056</v>
      </c>
      <c r="BW23" t="s">
        <v>1057</v>
      </c>
      <c r="BX23" t="s">
        <v>1058</v>
      </c>
    </row>
    <row r="24" spans="1:76" x14ac:dyDescent="0.25">
      <c r="B24" s="21" t="s">
        <v>524</v>
      </c>
      <c r="C24" t="s">
        <v>525</v>
      </c>
      <c r="E24" t="s">
        <v>561</v>
      </c>
      <c r="F24" s="21" t="s">
        <v>562</v>
      </c>
      <c r="G24" s="21" t="s">
        <v>563</v>
      </c>
      <c r="H24" t="s">
        <v>564</v>
      </c>
      <c r="I24" t="s">
        <v>565</v>
      </c>
      <c r="J24" t="s">
        <v>598</v>
      </c>
      <c r="K24" t="s">
        <v>599</v>
      </c>
      <c r="L24" t="s">
        <v>600</v>
      </c>
      <c r="M24" t="s">
        <v>564</v>
      </c>
      <c r="N24" t="s">
        <v>601</v>
      </c>
      <c r="O24" t="s">
        <v>675</v>
      </c>
      <c r="Q24" s="21" t="s">
        <v>676</v>
      </c>
      <c r="R24" s="21" t="s">
        <v>597</v>
      </c>
      <c r="S24" s="21" t="s">
        <v>677</v>
      </c>
      <c r="T24" s="21" t="s">
        <v>551</v>
      </c>
      <c r="U24" s="21" t="s">
        <v>678</v>
      </c>
      <c r="X24" s="21" t="s">
        <v>679</v>
      </c>
      <c r="AA24" t="s">
        <v>680</v>
      </c>
      <c r="AB24" t="s">
        <v>710</v>
      </c>
      <c r="AC24" t="s">
        <v>461</v>
      </c>
      <c r="AE24" t="s">
        <v>755</v>
      </c>
      <c r="AF24" t="s">
        <v>756</v>
      </c>
      <c r="AG24" t="s">
        <v>757</v>
      </c>
      <c r="AH24" t="s">
        <v>758</v>
      </c>
      <c r="AI24" t="s">
        <v>759</v>
      </c>
      <c r="AK24" t="s">
        <v>801</v>
      </c>
      <c r="AL24" t="s">
        <v>802</v>
      </c>
      <c r="AM24" t="s">
        <v>803</v>
      </c>
      <c r="AN24" t="s">
        <v>804</v>
      </c>
      <c r="AO24" t="s">
        <v>564</v>
      </c>
      <c r="AQ24" t="s">
        <v>805</v>
      </c>
      <c r="AR24" t="s">
        <v>867</v>
      </c>
      <c r="AS24" t="s">
        <v>868</v>
      </c>
      <c r="AU24" t="s">
        <v>869</v>
      </c>
      <c r="AV24" t="s">
        <v>870</v>
      </c>
      <c r="AX24" t="s">
        <v>685</v>
      </c>
      <c r="AY24" t="s">
        <v>914</v>
      </c>
      <c r="AZ24" t="s">
        <v>915</v>
      </c>
      <c r="BA24" t="s">
        <v>554</v>
      </c>
      <c r="BB24" t="s">
        <v>916</v>
      </c>
      <c r="BD24" t="s">
        <v>913</v>
      </c>
      <c r="BE24" t="s">
        <v>987</v>
      </c>
      <c r="BF24" t="s">
        <v>988</v>
      </c>
      <c r="BG24" t="s">
        <v>989</v>
      </c>
      <c r="BI24" t="s">
        <v>493</v>
      </c>
      <c r="BK24" t="s">
        <v>611</v>
      </c>
      <c r="BL24" t="s">
        <v>990</v>
      </c>
      <c r="BM24" t="s">
        <v>991</v>
      </c>
      <c r="BN24" t="s">
        <v>992</v>
      </c>
      <c r="BR24" t="s">
        <v>1059</v>
      </c>
      <c r="BS24" t="s">
        <v>1060</v>
      </c>
      <c r="BT24" t="s">
        <v>1061</v>
      </c>
      <c r="BU24" t="s">
        <v>1062</v>
      </c>
      <c r="BV24" t="s">
        <v>1063</v>
      </c>
      <c r="BW24" t="s">
        <v>564</v>
      </c>
      <c r="BX24" t="s">
        <v>1064</v>
      </c>
    </row>
    <row r="25" spans="1:76" x14ac:dyDescent="0.25">
      <c r="B25" s="21" t="s">
        <v>526</v>
      </c>
      <c r="E25" t="s">
        <v>566</v>
      </c>
      <c r="F25" s="21" t="s">
        <v>567</v>
      </c>
      <c r="H25" t="s">
        <v>564</v>
      </c>
      <c r="I25" t="s">
        <v>568</v>
      </c>
      <c r="J25" t="s">
        <v>602</v>
      </c>
      <c r="K25" t="s">
        <v>603</v>
      </c>
      <c r="M25" t="s">
        <v>564</v>
      </c>
      <c r="N25" t="s">
        <v>604</v>
      </c>
      <c r="O25" t="s">
        <v>681</v>
      </c>
      <c r="Q25" s="21" t="s">
        <v>682</v>
      </c>
      <c r="S25" s="21" t="s">
        <v>683</v>
      </c>
      <c r="T25" s="21" t="s">
        <v>682</v>
      </c>
      <c r="U25" s="21" t="s">
        <v>684</v>
      </c>
      <c r="X25" s="21" t="s">
        <v>685</v>
      </c>
      <c r="AA25" t="s">
        <v>686</v>
      </c>
      <c r="AB25" t="s">
        <v>711</v>
      </c>
      <c r="AC25" t="s">
        <v>712</v>
      </c>
      <c r="AE25" t="s">
        <v>760</v>
      </c>
      <c r="AF25" t="s">
        <v>761</v>
      </c>
      <c r="AG25" t="s">
        <v>762</v>
      </c>
      <c r="AH25" t="s">
        <v>763</v>
      </c>
      <c r="AI25" t="s">
        <v>764</v>
      </c>
      <c r="AK25" t="s">
        <v>806</v>
      </c>
      <c r="AL25" t="s">
        <v>746</v>
      </c>
      <c r="AM25" t="s">
        <v>807</v>
      </c>
      <c r="AN25" t="s">
        <v>808</v>
      </c>
      <c r="AQ25" t="s">
        <v>809</v>
      </c>
      <c r="AR25" t="s">
        <v>564</v>
      </c>
      <c r="AS25" t="s">
        <v>871</v>
      </c>
      <c r="AU25" t="s">
        <v>872</v>
      </c>
      <c r="AV25" t="s">
        <v>873</v>
      </c>
      <c r="AX25" t="s">
        <v>917</v>
      </c>
      <c r="AY25" t="s">
        <v>800</v>
      </c>
      <c r="AZ25" t="s">
        <v>918</v>
      </c>
      <c r="BA25" t="s">
        <v>919</v>
      </c>
      <c r="BB25" t="s">
        <v>920</v>
      </c>
      <c r="BD25" t="s">
        <v>993</v>
      </c>
      <c r="BE25" t="s">
        <v>836</v>
      </c>
      <c r="BF25" t="s">
        <v>564</v>
      </c>
      <c r="BG25" t="s">
        <v>994</v>
      </c>
      <c r="BI25" t="s">
        <v>995</v>
      </c>
      <c r="BL25" t="s">
        <v>996</v>
      </c>
      <c r="BM25" t="s">
        <v>644</v>
      </c>
      <c r="BN25" t="s">
        <v>997</v>
      </c>
      <c r="BR25" t="s">
        <v>1065</v>
      </c>
      <c r="BS25" t="s">
        <v>1066</v>
      </c>
      <c r="BT25" t="s">
        <v>1067</v>
      </c>
      <c r="BU25" t="s">
        <v>1068</v>
      </c>
      <c r="BV25" t="s">
        <v>1069</v>
      </c>
      <c r="BW25" t="s">
        <v>564</v>
      </c>
      <c r="BX25" t="s">
        <v>1070</v>
      </c>
    </row>
    <row r="26" spans="1:76" x14ac:dyDescent="0.25">
      <c r="B26" s="21" t="s">
        <v>527</v>
      </c>
      <c r="E26" t="s">
        <v>569</v>
      </c>
      <c r="F26" t="s">
        <v>564</v>
      </c>
      <c r="I26" t="s">
        <v>570</v>
      </c>
      <c r="K26" t="s">
        <v>605</v>
      </c>
      <c r="N26" t="s">
        <v>606</v>
      </c>
      <c r="O26" t="s">
        <v>687</v>
      </c>
      <c r="Q26" s="21" t="s">
        <v>688</v>
      </c>
      <c r="S26" s="21" t="s">
        <v>689</v>
      </c>
      <c r="T26" s="21" t="s">
        <v>690</v>
      </c>
      <c r="U26" s="21" t="s">
        <v>691</v>
      </c>
      <c r="X26" s="21" t="s">
        <v>672</v>
      </c>
      <c r="AA26" t="s">
        <v>692</v>
      </c>
      <c r="AB26" t="s">
        <v>713</v>
      </c>
      <c r="AC26" t="s">
        <v>714</v>
      </c>
      <c r="AE26" t="s">
        <v>564</v>
      </c>
      <c r="AF26" t="s">
        <v>765</v>
      </c>
      <c r="AI26" t="s">
        <v>766</v>
      </c>
      <c r="AK26" t="s">
        <v>810</v>
      </c>
      <c r="AL26" t="s">
        <v>811</v>
      </c>
      <c r="AM26" t="s">
        <v>812</v>
      </c>
      <c r="AN26" t="s">
        <v>813</v>
      </c>
      <c r="AQ26" t="s">
        <v>814</v>
      </c>
      <c r="AS26" t="s">
        <v>874</v>
      </c>
      <c r="AU26" t="s">
        <v>875</v>
      </c>
      <c r="AV26" t="s">
        <v>876</v>
      </c>
      <c r="AX26" t="s">
        <v>921</v>
      </c>
      <c r="AY26" t="s">
        <v>922</v>
      </c>
      <c r="AZ26" t="s">
        <v>923</v>
      </c>
      <c r="BA26" t="s">
        <v>252</v>
      </c>
      <c r="BB26" t="s">
        <v>924</v>
      </c>
      <c r="BD26" t="s">
        <v>998</v>
      </c>
      <c r="BE26" t="s">
        <v>999</v>
      </c>
      <c r="BG26" t="s">
        <v>1000</v>
      </c>
      <c r="BI26" t="s">
        <v>1001</v>
      </c>
      <c r="BL26" t="s">
        <v>1002</v>
      </c>
      <c r="BM26" t="s">
        <v>1003</v>
      </c>
      <c r="BN26" t="s">
        <v>568</v>
      </c>
      <c r="BR26" t="s">
        <v>1071</v>
      </c>
      <c r="BS26" t="s">
        <v>1072</v>
      </c>
      <c r="BT26" t="s">
        <v>564</v>
      </c>
      <c r="BU26" t="s">
        <v>1073</v>
      </c>
      <c r="BV26" t="s">
        <v>1074</v>
      </c>
      <c r="BW26" t="s">
        <v>564</v>
      </c>
      <c r="BX26" t="s">
        <v>903</v>
      </c>
    </row>
    <row r="27" spans="1:76" x14ac:dyDescent="0.25">
      <c r="B27" s="21" t="s">
        <v>528</v>
      </c>
      <c r="E27" t="s">
        <v>571</v>
      </c>
      <c r="I27" t="s">
        <v>572</v>
      </c>
      <c r="K27" t="s">
        <v>607</v>
      </c>
      <c r="O27" t="s">
        <v>693</v>
      </c>
      <c r="Q27" t="s">
        <v>564</v>
      </c>
      <c r="S27" s="21" t="s">
        <v>694</v>
      </c>
      <c r="T27" s="21" t="s">
        <v>695</v>
      </c>
      <c r="AA27" t="s">
        <v>696</v>
      </c>
      <c r="AB27" t="s">
        <v>715</v>
      </c>
      <c r="AC27" t="s">
        <v>716</v>
      </c>
      <c r="AF27" t="s">
        <v>767</v>
      </c>
      <c r="AI27" t="s">
        <v>768</v>
      </c>
      <c r="AK27" t="s">
        <v>815</v>
      </c>
      <c r="AL27" t="s">
        <v>816</v>
      </c>
      <c r="AM27" t="s">
        <v>645</v>
      </c>
      <c r="AN27" t="s">
        <v>817</v>
      </c>
      <c r="AQ27" t="s">
        <v>818</v>
      </c>
      <c r="AU27" t="s">
        <v>877</v>
      </c>
      <c r="AV27" t="s">
        <v>878</v>
      </c>
      <c r="AY27" t="s">
        <v>925</v>
      </c>
      <c r="AZ27" t="s">
        <v>926</v>
      </c>
      <c r="BA27" t="s">
        <v>425</v>
      </c>
      <c r="BB27" t="s">
        <v>836</v>
      </c>
      <c r="BD27" t="s">
        <v>1004</v>
      </c>
      <c r="BG27" t="s">
        <v>1005</v>
      </c>
      <c r="BL27" t="s">
        <v>564</v>
      </c>
      <c r="BM27" t="s">
        <v>1006</v>
      </c>
      <c r="BN27" t="s">
        <v>1007</v>
      </c>
      <c r="BR27" t="s">
        <v>564</v>
      </c>
      <c r="BS27" t="s">
        <v>1075</v>
      </c>
      <c r="BT27" t="s">
        <v>564</v>
      </c>
      <c r="BU27" t="s">
        <v>834</v>
      </c>
      <c r="BV27" t="s">
        <v>564</v>
      </c>
      <c r="BW27" t="s">
        <v>564</v>
      </c>
      <c r="BX27" t="s">
        <v>1076</v>
      </c>
    </row>
    <row r="28" spans="1:76" x14ac:dyDescent="0.25">
      <c r="B28" s="21" t="s">
        <v>529</v>
      </c>
      <c r="E28" t="s">
        <v>573</v>
      </c>
      <c r="I28" t="s">
        <v>574</v>
      </c>
      <c r="K28" t="s">
        <v>608</v>
      </c>
      <c r="S28" s="21" t="s">
        <v>612</v>
      </c>
      <c r="T28" s="21" t="s">
        <v>697</v>
      </c>
      <c r="AB28" t="s">
        <v>717</v>
      </c>
      <c r="AI28" t="s">
        <v>564</v>
      </c>
      <c r="AK28" t="s">
        <v>819</v>
      </c>
      <c r="AL28" t="s">
        <v>820</v>
      </c>
      <c r="AM28" t="s">
        <v>821</v>
      </c>
      <c r="AN28" t="s">
        <v>822</v>
      </c>
      <c r="AQ28" t="s">
        <v>823</v>
      </c>
      <c r="AU28" t="s">
        <v>566</v>
      </c>
      <c r="AY28" t="s">
        <v>927</v>
      </c>
      <c r="AZ28" t="s">
        <v>928</v>
      </c>
      <c r="BA28" t="s">
        <v>929</v>
      </c>
      <c r="BD28" t="s">
        <v>1008</v>
      </c>
      <c r="BG28" t="s">
        <v>1006</v>
      </c>
      <c r="BL28" t="s">
        <v>564</v>
      </c>
      <c r="BM28" t="s">
        <v>1009</v>
      </c>
      <c r="BN28" t="s">
        <v>1010</v>
      </c>
      <c r="BU28" t="s">
        <v>1077</v>
      </c>
      <c r="BV28" t="s">
        <v>564</v>
      </c>
      <c r="BW28" t="s">
        <v>564</v>
      </c>
      <c r="BX28" t="s">
        <v>564</v>
      </c>
    </row>
    <row r="29" spans="1:76" x14ac:dyDescent="0.25">
      <c r="B29" s="21" t="s">
        <v>530</v>
      </c>
      <c r="K29" t="s">
        <v>609</v>
      </c>
      <c r="S29" s="21" t="s">
        <v>698</v>
      </c>
      <c r="AB29" t="s">
        <v>718</v>
      </c>
      <c r="AL29" t="s">
        <v>824</v>
      </c>
      <c r="AM29" t="s">
        <v>768</v>
      </c>
      <c r="AN29" t="s">
        <v>825</v>
      </c>
      <c r="AQ29" t="s">
        <v>826</v>
      </c>
      <c r="AU29" t="s">
        <v>879</v>
      </c>
      <c r="AY29" t="s">
        <v>612</v>
      </c>
      <c r="AZ29" t="s">
        <v>930</v>
      </c>
      <c r="BA29" t="s">
        <v>931</v>
      </c>
      <c r="BD29" t="s">
        <v>1011</v>
      </c>
      <c r="BG29" t="s">
        <v>1012</v>
      </c>
      <c r="BL29" t="s">
        <v>564</v>
      </c>
      <c r="BM29" t="s">
        <v>1013</v>
      </c>
      <c r="BN29" t="s">
        <v>564</v>
      </c>
      <c r="BU29" t="s">
        <v>1078</v>
      </c>
      <c r="BV29" t="s">
        <v>564</v>
      </c>
      <c r="BW29" t="s">
        <v>564</v>
      </c>
      <c r="BX29" t="s">
        <v>564</v>
      </c>
    </row>
    <row r="30" spans="1:76" x14ac:dyDescent="0.25">
      <c r="B30" s="21" t="s">
        <v>531</v>
      </c>
      <c r="K30" t="s">
        <v>610</v>
      </c>
      <c r="S30" s="21" t="s">
        <v>699</v>
      </c>
      <c r="AB30" t="s">
        <v>719</v>
      </c>
      <c r="AL30" t="s">
        <v>827</v>
      </c>
      <c r="AM30" t="s">
        <v>828</v>
      </c>
      <c r="AU30" t="s">
        <v>880</v>
      </c>
      <c r="AY30" t="s">
        <v>932</v>
      </c>
      <c r="BA30" t="s">
        <v>933</v>
      </c>
      <c r="BD30" t="s">
        <v>836</v>
      </c>
      <c r="BG30" t="s">
        <v>1014</v>
      </c>
      <c r="BL30" t="s">
        <v>564</v>
      </c>
      <c r="BM30" t="s">
        <v>1015</v>
      </c>
      <c r="BN30" t="s">
        <v>564</v>
      </c>
      <c r="BU30" t="s">
        <v>1079</v>
      </c>
      <c r="BV30" t="s">
        <v>564</v>
      </c>
      <c r="BW30" t="s">
        <v>564</v>
      </c>
      <c r="BX30" t="s">
        <v>564</v>
      </c>
    </row>
    <row r="31" spans="1:76" x14ac:dyDescent="0.25">
      <c r="K31" t="s">
        <v>611</v>
      </c>
      <c r="S31" s="21" t="s">
        <v>700</v>
      </c>
      <c r="AB31" t="s">
        <v>720</v>
      </c>
      <c r="AL31" t="s">
        <v>829</v>
      </c>
      <c r="AM31" t="s">
        <v>830</v>
      </c>
      <c r="AU31" t="s">
        <v>881</v>
      </c>
      <c r="AY31" t="s">
        <v>934</v>
      </c>
      <c r="BA31" t="s">
        <v>935</v>
      </c>
    </row>
    <row r="32" spans="1:76" x14ac:dyDescent="0.25">
      <c r="K32" t="s">
        <v>612</v>
      </c>
      <c r="AB32" t="s">
        <v>721</v>
      </c>
      <c r="AL32" t="s">
        <v>831</v>
      </c>
      <c r="AM32" t="s">
        <v>832</v>
      </c>
      <c r="AU32" t="s">
        <v>882</v>
      </c>
      <c r="BA32" t="s">
        <v>936</v>
      </c>
    </row>
    <row r="33" spans="28:53" x14ac:dyDescent="0.25">
      <c r="AB33" t="s">
        <v>722</v>
      </c>
      <c r="AL33" t="s">
        <v>833</v>
      </c>
      <c r="AU33" t="s">
        <v>883</v>
      </c>
      <c r="BA33" t="s">
        <v>937</v>
      </c>
    </row>
    <row r="34" spans="28:53" x14ac:dyDescent="0.25">
      <c r="AB34" t="s">
        <v>723</v>
      </c>
      <c r="AL34" t="s">
        <v>597</v>
      </c>
      <c r="AU34" t="s">
        <v>682</v>
      </c>
      <c r="BA34" t="s">
        <v>938</v>
      </c>
    </row>
    <row r="35" spans="28:53" x14ac:dyDescent="0.25">
      <c r="AL35" t="s">
        <v>834</v>
      </c>
      <c r="AU35" t="s">
        <v>884</v>
      </c>
      <c r="BA35" t="s">
        <v>939</v>
      </c>
    </row>
    <row r="36" spans="28:53" x14ac:dyDescent="0.25">
      <c r="AL36" t="s">
        <v>835</v>
      </c>
      <c r="AU36" t="s">
        <v>885</v>
      </c>
      <c r="BA36" t="s">
        <v>573</v>
      </c>
    </row>
    <row r="37" spans="28:53" x14ac:dyDescent="0.25">
      <c r="AL37" t="s">
        <v>836</v>
      </c>
      <c r="AP37" t="str">
        <f t="shared" ref="AP37:AP38" si="0">PROPER(AP24)</f>
        <v/>
      </c>
      <c r="AU37" t="s">
        <v>886</v>
      </c>
    </row>
    <row r="38" spans="28:53" x14ac:dyDescent="0.25">
      <c r="AL38" t="s">
        <v>837</v>
      </c>
      <c r="AP38" t="str">
        <f t="shared" si="0"/>
        <v/>
      </c>
      <c r="AU38" t="s">
        <v>887</v>
      </c>
    </row>
    <row r="39" spans="28:53" x14ac:dyDescent="0.25">
      <c r="AL39" t="s">
        <v>698</v>
      </c>
      <c r="AU39" t="s">
        <v>888</v>
      </c>
    </row>
    <row r="40" spans="28:53" x14ac:dyDescent="0.25">
      <c r="AL40" t="s">
        <v>838</v>
      </c>
      <c r="AU40" t="s">
        <v>828</v>
      </c>
    </row>
    <row r="41" spans="28:53" x14ac:dyDescent="0.25">
      <c r="AL41" t="s">
        <v>839</v>
      </c>
      <c r="AU41" t="s">
        <v>889</v>
      </c>
    </row>
    <row r="42" spans="28:53" x14ac:dyDescent="0.25">
      <c r="AL42" t="s">
        <v>840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B11"/>
  <sheetViews>
    <sheetView workbookViewId="0">
      <selection activeCell="B4" sqref="B4"/>
    </sheetView>
  </sheetViews>
  <sheetFormatPr baseColWidth="10" defaultRowHeight="15" x14ac:dyDescent="0.25"/>
  <cols>
    <col min="1" max="1" width="26.140625" bestFit="1" customWidth="1"/>
    <col min="2" max="2" width="98.85546875" customWidth="1"/>
  </cols>
  <sheetData>
    <row r="2" spans="1:2" x14ac:dyDescent="0.25">
      <c r="A2" s="46" t="s">
        <v>1414</v>
      </c>
      <c r="B2" s="46" t="s">
        <v>1863</v>
      </c>
    </row>
    <row r="3" spans="1:2" ht="29.25" x14ac:dyDescent="0.25">
      <c r="A3" s="60" t="s">
        <v>1520</v>
      </c>
      <c r="B3" s="61" t="s">
        <v>2015</v>
      </c>
    </row>
    <row r="4" spans="1:2" ht="90" x14ac:dyDescent="0.25">
      <c r="A4" s="60" t="s">
        <v>1520</v>
      </c>
      <c r="B4" s="51" t="s">
        <v>1877</v>
      </c>
    </row>
    <row r="5" spans="1:2" x14ac:dyDescent="0.25">
      <c r="B5" s="618" t="s">
        <v>1521</v>
      </c>
    </row>
    <row r="6" spans="1:2" x14ac:dyDescent="0.25">
      <c r="B6" s="280"/>
    </row>
    <row r="7" spans="1:2" x14ac:dyDescent="0.25">
      <c r="B7" s="280"/>
    </row>
    <row r="8" spans="1:2" x14ac:dyDescent="0.25">
      <c r="B8" s="280"/>
    </row>
    <row r="9" spans="1:2" x14ac:dyDescent="0.25">
      <c r="B9" s="280"/>
    </row>
    <row r="10" spans="1:2" x14ac:dyDescent="0.25">
      <c r="B10" s="280"/>
    </row>
    <row r="11" spans="1:2" ht="60" x14ac:dyDescent="0.25">
      <c r="A11" t="s">
        <v>1879</v>
      </c>
      <c r="B11" s="51" t="s">
        <v>1878</v>
      </c>
    </row>
  </sheetData>
  <mergeCells count="1">
    <mergeCell ref="B5: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Nintex conditional workflow start</Name>
    <Synchronization>Synchronous</Synchronization>
    <Type>10001</Type>
    <SequenceNumber>50000</SequenceNumber>
    <Url/>
    <Assembly>Nintex.Workflow, Version=1.0.0.0, Culture=neutral, PublicKeyToken=913f6bae0ca5ae12</Assembly>
    <Class>Nintex.Workflow.ConditionalWorkflowStartReceiver</Class>
    <Data>635380099087849872</Data>
    <Filter/>
  </Receiver>
  <Receiver>
    <Name>Nintex conditional workflow start</Name>
    <Synchronization>Synchronous</Synchronization>
    <Type>10002</Type>
    <SequenceNumber>50000</SequenceNumber>
    <Url/>
    <Assembly>Nintex.Workflow, Version=1.0.0.0, Culture=neutral, PublicKeyToken=913f6bae0ca5ae12</Assembly>
    <Class>Nintex.Workflow.ConditionalWorkflowStartReceiver</Class>
    <Data>635380099087849872</Data>
    <Filter/>
  </Receiver>
  <Receiver>
    <Name>Nintex conditional workflow start</Name>
    <Synchronization>Synchronous</Synchronization>
    <Type>2</Type>
    <SequenceNumber>50000</SequenceNumber>
    <Url/>
    <Assembly>Nintex.Workflow, Version=1.0.0.0, Culture=neutral, PublicKeyToken=913f6bae0ca5ae12</Assembly>
    <Class>Nintex.Workflow.ConditionalWorkflowStartReceiver</Class>
    <Data>635380099087849872</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1810458BC3D8D42B3C3DD1EA5296B67" ma:contentTypeVersion="0" ma:contentTypeDescription="Crear nuevo documento." ma:contentTypeScope="" ma:versionID="fd1d6324f23ea5c592556d5efc63c49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0EB0E8-2DC5-41E8-831D-BD28CB83C6C1}">
  <ds:schemaRefs>
    <ds:schemaRef ds:uri="http://schemas.microsoft.com/sharepoint/events"/>
  </ds:schemaRefs>
</ds:datastoreItem>
</file>

<file path=customXml/itemProps2.xml><?xml version="1.0" encoding="utf-8"?>
<ds:datastoreItem xmlns:ds="http://schemas.openxmlformats.org/officeDocument/2006/customXml" ds:itemID="{F8564BD7-4D2D-4216-95AD-AD51FB33B31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F706A51-63D8-4E60-8A7F-9AD6586A7C6C}">
  <ds:schemaRefs>
    <ds:schemaRef ds:uri="http://schemas.microsoft.com/sharepoint/v3/contenttype/forms"/>
  </ds:schemaRefs>
</ds:datastoreItem>
</file>

<file path=customXml/itemProps4.xml><?xml version="1.0" encoding="utf-8"?>
<ds:datastoreItem xmlns:ds="http://schemas.openxmlformats.org/officeDocument/2006/customXml" ds:itemID="{F0AA8B61-8897-4E1A-B83F-0CC210108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186</vt:i4>
      </vt:variant>
    </vt:vector>
  </HeadingPairs>
  <TitlesOfParts>
    <vt:vector size="195" baseType="lpstr">
      <vt:lpstr>LEER Instructivo</vt:lpstr>
      <vt:lpstr>Persona Natural</vt:lpstr>
      <vt:lpstr>AP</vt:lpstr>
      <vt:lpstr>mensajes nat</vt:lpstr>
      <vt:lpstr>tablas</vt:lpstr>
      <vt:lpstr>Tabla ID</vt:lpstr>
      <vt:lpstr>textos de autorizaciones</vt:lpstr>
      <vt:lpstr>tabla direccion</vt:lpstr>
      <vt:lpstr>titulos largos concatenar</vt:lpstr>
      <vt:lpstr>_</vt:lpstr>
      <vt:lpstr>__</vt:lpstr>
      <vt:lpstr>_1</vt:lpstr>
      <vt:lpstr>_10</vt:lpstr>
      <vt:lpstr>_11</vt:lpstr>
      <vt:lpstr>_12</vt:lpstr>
      <vt:lpstr>_13</vt:lpstr>
      <vt:lpstr>_2</vt:lpstr>
      <vt:lpstr>_3</vt:lpstr>
      <vt:lpstr>_4</vt:lpstr>
      <vt:lpstr>_5</vt:lpstr>
      <vt:lpstr>_6</vt:lpstr>
      <vt:lpstr>_7</vt:lpstr>
      <vt:lpstr>_8</vt:lpstr>
      <vt:lpstr>_9</vt:lpstr>
      <vt:lpstr>_Bocas_Del_Toro</vt:lpstr>
      <vt:lpstr>_Bugaba</vt:lpstr>
      <vt:lpstr>_Comarca_Kuna_Yala</vt:lpstr>
      <vt:lpstr>_Panamá</vt:lpstr>
      <vt:lpstr>_Pocrí</vt:lpstr>
      <vt:lpstr>a</vt:lpstr>
      <vt:lpstr>Accidentes_Personales</vt:lpstr>
      <vt:lpstr>acreedor</vt:lpstr>
      <vt:lpstr>actividad</vt:lpstr>
      <vt:lpstr>Actividadeconomica</vt:lpstr>
      <vt:lpstr>Aguadulce</vt:lpstr>
      <vt:lpstr>Alanje</vt:lpstr>
      <vt:lpstr>Antón</vt:lpstr>
      <vt:lpstr>AP</vt:lpstr>
      <vt:lpstr>'Persona Natural'!Área_de_impresión</vt:lpstr>
      <vt:lpstr>Arraiján</vt:lpstr>
      <vt:lpstr>asiento</vt:lpstr>
      <vt:lpstr>Atalaya</vt:lpstr>
      <vt:lpstr>autocobertura</vt:lpstr>
      <vt:lpstr>AV</vt:lpstr>
      <vt:lpstr>Balboa</vt:lpstr>
      <vt:lpstr>banco</vt:lpstr>
      <vt:lpstr>Barú</vt:lpstr>
      <vt:lpstr>Besiko</vt:lpstr>
      <vt:lpstr>Bocas_del_Toro</vt:lpstr>
      <vt:lpstr>Boquerón</vt:lpstr>
      <vt:lpstr>Boquete</vt:lpstr>
      <vt:lpstr>Calobre</vt:lpstr>
      <vt:lpstr>canal</vt:lpstr>
      <vt:lpstr>cantpagos</vt:lpstr>
      <vt:lpstr>Cañazas</vt:lpstr>
      <vt:lpstr>Capira</vt:lpstr>
      <vt:lpstr>Cedula</vt:lpstr>
      <vt:lpstr>Cémaco</vt:lpstr>
      <vt:lpstr>Chagres</vt:lpstr>
      <vt:lpstr>Chame</vt:lpstr>
      <vt:lpstr>Changuinola</vt:lpstr>
      <vt:lpstr>Chepigana</vt:lpstr>
      <vt:lpstr>Chepo</vt:lpstr>
      <vt:lpstr>Chimán</vt:lpstr>
      <vt:lpstr>Chiriquí</vt:lpstr>
      <vt:lpstr>Chiriquí_Grande</vt:lpstr>
      <vt:lpstr>Chitré</vt:lpstr>
      <vt:lpstr>Coclé</vt:lpstr>
      <vt:lpstr>Colectivo_de_Vida</vt:lpstr>
      <vt:lpstr>Colon</vt:lpstr>
      <vt:lpstr>Colón</vt:lpstr>
      <vt:lpstr>Comarca_Emberá</vt:lpstr>
      <vt:lpstr>Comarca_Guna_Yala</vt:lpstr>
      <vt:lpstr>Comarca_Ngäbe_Bugle</vt:lpstr>
      <vt:lpstr>comercial</vt:lpstr>
      <vt:lpstr>Daños_a_la_propiedad_ajena</vt:lpstr>
      <vt:lpstr>Darién</vt:lpstr>
      <vt:lpstr>David</vt:lpstr>
      <vt:lpstr>Descuento_Automático_Tarjeta_de_Credito</vt:lpstr>
      <vt:lpstr>Descuento_Automático_Tarjeta_de_Credito_Debito</vt:lpstr>
      <vt:lpstr>dia</vt:lpstr>
      <vt:lpstr>dircobro</vt:lpstr>
      <vt:lpstr>Diremail</vt:lpstr>
      <vt:lpstr>dirlaboral</vt:lpstr>
      <vt:lpstr>Dolega</vt:lpstr>
      <vt:lpstr>Donoso</vt:lpstr>
      <vt:lpstr>E</vt:lpstr>
      <vt:lpstr>empleados</vt:lpstr>
      <vt:lpstr>estadocivil</vt:lpstr>
      <vt:lpstr>formadepago</vt:lpstr>
      <vt:lpstr>frecuencia</vt:lpstr>
      <vt:lpstr>Gastos_Médicos</vt:lpstr>
      <vt:lpstr>Genero</vt:lpstr>
      <vt:lpstr>Gualaca</vt:lpstr>
      <vt:lpstr>Guararé</vt:lpstr>
      <vt:lpstr>Herrera</vt:lpstr>
      <vt:lpstr>id</vt:lpstr>
      <vt:lpstr>ingresos</vt:lpstr>
      <vt:lpstr>ingresosnat</vt:lpstr>
      <vt:lpstr>Jurídica</vt:lpstr>
      <vt:lpstr>Kankintú</vt:lpstr>
      <vt:lpstr>Kusapín</vt:lpstr>
      <vt:lpstr>La_Chorrera</vt:lpstr>
      <vt:lpstr>La_Mesa</vt:lpstr>
      <vt:lpstr>La_Pintada</vt:lpstr>
      <vt:lpstr>Las_Minas</vt:lpstr>
      <vt:lpstr>Las_Palmas</vt:lpstr>
      <vt:lpstr>Las_Tablas</vt:lpstr>
      <vt:lpstr>Lesiones_Corporales</vt:lpstr>
      <vt:lpstr>Los_Pozos</vt:lpstr>
      <vt:lpstr>Los_santos</vt:lpstr>
      <vt:lpstr>Los_Santos_</vt:lpstr>
      <vt:lpstr>Macaracas</vt:lpstr>
      <vt:lpstr>Mariato</vt:lpstr>
      <vt:lpstr>maspagos</vt:lpstr>
      <vt:lpstr>medidas</vt:lpstr>
      <vt:lpstr>Mensajería_Motos</vt:lpstr>
      <vt:lpstr>mes</vt:lpstr>
      <vt:lpstr>Mina</vt:lpstr>
      <vt:lpstr>Mirono</vt:lpstr>
      <vt:lpstr>Montijo</vt:lpstr>
      <vt:lpstr>Moto</vt:lpstr>
      <vt:lpstr>N</vt:lpstr>
      <vt:lpstr>Natá</vt:lpstr>
      <vt:lpstr>Natural</vt:lpstr>
      <vt:lpstr>No</vt:lpstr>
      <vt:lpstr>No_</vt:lpstr>
      <vt:lpstr>Nole_Duima</vt:lpstr>
      <vt:lpstr>nro.dehijos</vt:lpstr>
      <vt:lpstr>NT</vt:lpstr>
      <vt:lpstr>Ñurum</vt:lpstr>
      <vt:lpstr>Ocú</vt:lpstr>
      <vt:lpstr>ocupacion</vt:lpstr>
      <vt:lpstr>Olá</vt:lpstr>
      <vt:lpstr>Otra_opción</vt:lpstr>
      <vt:lpstr>Otro</vt:lpstr>
      <vt:lpstr>Pais</vt:lpstr>
      <vt:lpstr>pan</vt:lpstr>
      <vt:lpstr>Panamá</vt:lpstr>
      <vt:lpstr>Panamá_</vt:lpstr>
      <vt:lpstr>Panama_Oeste</vt:lpstr>
      <vt:lpstr>Parita</vt:lpstr>
      <vt:lpstr>particular</vt:lpstr>
      <vt:lpstr>Particular_</vt:lpstr>
      <vt:lpstr>PE</vt:lpstr>
      <vt:lpstr>Pedasí</vt:lpstr>
      <vt:lpstr>Penonomé</vt:lpstr>
      <vt:lpstr>pep</vt:lpstr>
      <vt:lpstr>Pesé</vt:lpstr>
      <vt:lpstr>PI</vt:lpstr>
      <vt:lpstr>Pinogana</vt:lpstr>
      <vt:lpstr>Portobelo</vt:lpstr>
      <vt:lpstr>prima</vt:lpstr>
      <vt:lpstr>Remedios</vt:lpstr>
      <vt:lpstr>Renacimiento</vt:lpstr>
      <vt:lpstr>respaldoeco</vt:lpstr>
      <vt:lpstr>Río_De_Jesús</vt:lpstr>
      <vt:lpstr>Sambú</vt:lpstr>
      <vt:lpstr>San_Carlos</vt:lpstr>
      <vt:lpstr>San_Félix</vt:lpstr>
      <vt:lpstr>San_Francisco</vt:lpstr>
      <vt:lpstr>San_Lorenzo</vt:lpstr>
      <vt:lpstr>San_Miguelito</vt:lpstr>
      <vt:lpstr>Santa_Fé</vt:lpstr>
      <vt:lpstr>Santa_Isabel</vt:lpstr>
      <vt:lpstr>Santa_María</vt:lpstr>
      <vt:lpstr>Santiago</vt:lpstr>
      <vt:lpstr>Si</vt:lpstr>
      <vt:lpstr>Si_</vt:lpstr>
      <vt:lpstr>Soná</vt:lpstr>
      <vt:lpstr>suma</vt:lpstr>
      <vt:lpstr>Taboga</vt:lpstr>
      <vt:lpstr>tipodedir</vt:lpstr>
      <vt:lpstr>Tipodeid</vt:lpstr>
      <vt:lpstr>tipodeidnat</vt:lpstr>
      <vt:lpstr>tipodeseg</vt:lpstr>
      <vt:lpstr>tipodir</vt:lpstr>
      <vt:lpstr>tipoflota</vt:lpstr>
      <vt:lpstr>tipopersona</vt:lpstr>
      <vt:lpstr>Tolé</vt:lpstr>
      <vt:lpstr>Tonosí</vt:lpstr>
      <vt:lpstr>Transporte_Colegial</vt:lpstr>
      <vt:lpstr>Transporte_Comercial_de_Carga</vt:lpstr>
      <vt:lpstr>Transporte_de_Empleados</vt:lpstr>
      <vt:lpstr>Transporte_de_Turismo</vt:lpstr>
      <vt:lpstr>Transporte_Público_Movilidad_Urbana</vt:lpstr>
      <vt:lpstr>Transporte_Público_Provincial</vt:lpstr>
      <vt:lpstr>Transporte_Público_Ruta_Interna</vt:lpstr>
      <vt:lpstr>Transporte_Público_Taxi_Rural</vt:lpstr>
      <vt:lpstr>Transporte_Público_Vehiculo_Modificado</vt:lpstr>
      <vt:lpstr>unpago</vt:lpstr>
      <vt:lpstr>usoauto</vt:lpstr>
      <vt:lpstr>Veraguas</vt:lpstr>
      <vt:lpstr>x</vt:lpstr>
      <vt:lp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Marwa Dassuki K David</dc:creator>
  <cp:lastModifiedBy>Javier Samudio</cp:lastModifiedBy>
  <cp:lastPrinted>2020-05-11T19:24:27Z</cp:lastPrinted>
  <dcterms:created xsi:type="dcterms:W3CDTF">2019-01-23T13:56:56Z</dcterms:created>
  <dcterms:modified xsi:type="dcterms:W3CDTF">2020-09-29T18:51:01Z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0x010100B1810458BC3D8D42B3C3DD1EA5296B67</vt:lpwstr>
  </property>
</Properties>
</file>